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AL\PRODUKTIVITET\2017-2018\Data\Datamateriale 4. udkast\"/>
    </mc:Choice>
  </mc:AlternateContent>
  <bookViews>
    <workbookView xWindow="0" yWindow="0" windowWidth="6450" windowHeight="170" tabRatio="721" activeTab="10"/>
  </bookViews>
  <sheets>
    <sheet name="(skema1-7_2017 - 17pl)" sheetId="32" r:id="rId1"/>
    <sheet name="Skema1-7_2017" sheetId="24" r:id="rId2"/>
    <sheet name="Skema1-7_2018" sheetId="23" r:id="rId3"/>
    <sheet name="Skema1-7_forskel" sheetId="29" r:id="rId4"/>
    <sheet name="DTD_17" sheetId="25" r:id="rId5"/>
    <sheet name="DTD_18" sheetId="5" r:id="rId6"/>
    <sheet name="DTD_forskel" sheetId="30" r:id="rId7"/>
    <sheet name="DRG_17" sheetId="27" r:id="rId8"/>
    <sheet name="DRG_18" sheetId="26" r:id="rId9"/>
    <sheet name="DRG_forskel" sheetId="31" r:id="rId10"/>
    <sheet name="produktivitet" sheetId="7" r:id="rId11"/>
    <sheet name="Regionsspecifikke korrektioner" sheetId="63" r:id="rId12"/>
  </sheets>
  <definedNames>
    <definedName name="Print_Area" localSheetId="7">DRG_17!$A$1:$G$29</definedName>
    <definedName name="Print_Area" localSheetId="8">DRG_18!$A$1:$G$29</definedName>
    <definedName name="Print_Area" localSheetId="9">DRG_forskel!$A$1:$F$29</definedName>
    <definedName name="Print_Area" localSheetId="4">DTD_17!$A$1:$G$29</definedName>
    <definedName name="Print_Area" localSheetId="5">DTD_18!$A$1:$G$29</definedName>
    <definedName name="Print_Area" localSheetId="6">DTD_forskel!$A$1:$G$29</definedName>
    <definedName name="Print_Area" localSheetId="10">produktivitet!$A$1:$J$30</definedName>
    <definedName name="Print_Area" localSheetId="1">'Skema1-7_2017'!$A$1:$J$28</definedName>
    <definedName name="Print_Area" localSheetId="2">'Skema1-7_2018'!$A$1:$J$29</definedName>
    <definedName name="Print_Area" localSheetId="3">'Skema1-7_forskel'!$A$1:$J$29</definedName>
    <definedName name="SAM_06" localSheetId="7">DRG_17!#REF!</definedName>
    <definedName name="SAM_06" localSheetId="8">DRG_18!#REF!</definedName>
    <definedName name="SAM_06" localSheetId="9">DRG_forskel!#REF!</definedName>
    <definedName name="SAM_07" localSheetId="10">produktivitet!$A$5:$B$30</definedName>
  </definedNames>
  <calcPr calcId="162913"/>
</workbook>
</file>

<file path=xl/calcChain.xml><?xml version="1.0" encoding="utf-8"?>
<calcChain xmlns="http://schemas.openxmlformats.org/spreadsheetml/2006/main">
  <c r="F24" i="25" l="1"/>
  <c r="A1" i="26" l="1"/>
  <c r="I77" i="63" l="1"/>
  <c r="I74" i="63"/>
  <c r="I62" i="63"/>
  <c r="I55" i="63"/>
  <c r="I42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13" i="63"/>
  <c r="E12" i="63"/>
  <c r="E11" i="63"/>
  <c r="E10" i="63"/>
  <c r="E9" i="63"/>
  <c r="E8" i="63"/>
  <c r="E7" i="63"/>
  <c r="E6" i="63"/>
  <c r="J9" i="32" l="1"/>
  <c r="A10" i="7" l="1"/>
  <c r="B10" i="7"/>
  <c r="A9" i="31"/>
  <c r="B9" i="31"/>
  <c r="C9" i="31"/>
  <c r="D9" i="31"/>
  <c r="E9" i="31"/>
  <c r="A9" i="26"/>
  <c r="B9" i="26"/>
  <c r="G9" i="26"/>
  <c r="D10" i="7" s="1"/>
  <c r="A9" i="27"/>
  <c r="B9" i="27"/>
  <c r="G9" i="27"/>
  <c r="A9" i="30"/>
  <c r="B9" i="30"/>
  <c r="D9" i="30"/>
  <c r="F9" i="30"/>
  <c r="A9" i="5"/>
  <c r="B9" i="5"/>
  <c r="A9" i="25"/>
  <c r="B9" i="25"/>
  <c r="A9" i="29"/>
  <c r="B9" i="29"/>
  <c r="A9" i="23"/>
  <c r="B9" i="23"/>
  <c r="J9" i="23"/>
  <c r="C9" i="5" s="1"/>
  <c r="E9" i="5" s="1"/>
  <c r="G9" i="5" s="1"/>
  <c r="F10" i="7" s="1"/>
  <c r="A9" i="24"/>
  <c r="B9" i="24"/>
  <c r="C9" i="24"/>
  <c r="D9" i="24"/>
  <c r="D9" i="29" s="1"/>
  <c r="E9" i="24"/>
  <c r="E9" i="29" s="1"/>
  <c r="F9" i="24"/>
  <c r="F9" i="29" s="1"/>
  <c r="G9" i="24"/>
  <c r="G9" i="29" s="1"/>
  <c r="H9" i="24"/>
  <c r="H9" i="29" s="1"/>
  <c r="I9" i="24"/>
  <c r="I9" i="29" s="1"/>
  <c r="F9" i="31" l="1"/>
  <c r="C10" i="7"/>
  <c r="G10" i="7" s="1"/>
  <c r="J9" i="24"/>
  <c r="C9" i="25" s="1"/>
  <c r="C9" i="29"/>
  <c r="G11" i="26"/>
  <c r="G10" i="26"/>
  <c r="G8" i="26"/>
  <c r="G7" i="26"/>
  <c r="G6" i="26"/>
  <c r="G5" i="26"/>
  <c r="J12" i="23"/>
  <c r="J11" i="23"/>
  <c r="J10" i="23"/>
  <c r="J8" i="23"/>
  <c r="J7" i="23"/>
  <c r="J6" i="23"/>
  <c r="J5" i="23"/>
  <c r="J9" i="29" l="1"/>
  <c r="E9" i="25"/>
  <c r="C9" i="30"/>
  <c r="A6" i="7"/>
  <c r="G9" i="25" l="1"/>
  <c r="E9" i="30"/>
  <c r="I8" i="24"/>
  <c r="I7" i="24"/>
  <c r="E10" i="7" l="1"/>
  <c r="G9" i="30"/>
  <c r="H10" i="7" l="1"/>
  <c r="I10" i="7"/>
  <c r="F29" i="27"/>
  <c r="A1" i="23" l="1"/>
  <c r="B28" i="24" l="1"/>
  <c r="C8" i="5"/>
  <c r="E8" i="5" s="1"/>
  <c r="G8" i="5" s="1"/>
  <c r="F9" i="7" s="1"/>
  <c r="H29" i="32"/>
  <c r="C29" i="32"/>
  <c r="D29" i="32"/>
  <c r="E29" i="32"/>
  <c r="F29" i="32"/>
  <c r="G29" i="32"/>
  <c r="I29" i="32"/>
  <c r="C11" i="5"/>
  <c r="E11" i="5" s="1"/>
  <c r="G11" i="5" s="1"/>
  <c r="F12" i="7" s="1"/>
  <c r="C5" i="24"/>
  <c r="C5" i="29" s="1"/>
  <c r="D5" i="24"/>
  <c r="D5" i="29" s="1"/>
  <c r="E5" i="24"/>
  <c r="E5" i="29" s="1"/>
  <c r="F5" i="24"/>
  <c r="G5" i="24"/>
  <c r="G5" i="29" s="1"/>
  <c r="H5" i="24"/>
  <c r="H5" i="29" s="1"/>
  <c r="I5" i="24"/>
  <c r="I5" i="29" s="1"/>
  <c r="C6" i="24"/>
  <c r="D6" i="24"/>
  <c r="D6" i="29" s="1"/>
  <c r="E6" i="24"/>
  <c r="E6" i="29" s="1"/>
  <c r="F6" i="24"/>
  <c r="F6" i="29" s="1"/>
  <c r="G6" i="24"/>
  <c r="H6" i="24"/>
  <c r="H6" i="29" s="1"/>
  <c r="I6" i="24"/>
  <c r="I6" i="29" s="1"/>
  <c r="C7" i="24"/>
  <c r="C7" i="29" s="1"/>
  <c r="D7" i="24"/>
  <c r="E7" i="24"/>
  <c r="E7" i="29" s="1"/>
  <c r="F7" i="24"/>
  <c r="F7" i="29" s="1"/>
  <c r="G7" i="24"/>
  <c r="G7" i="29" s="1"/>
  <c r="H7" i="24"/>
  <c r="H7" i="29" s="1"/>
  <c r="I7" i="29"/>
  <c r="C8" i="24"/>
  <c r="C8" i="29" s="1"/>
  <c r="D8" i="24"/>
  <c r="D8" i="29" s="1"/>
  <c r="E8" i="24"/>
  <c r="F8" i="24"/>
  <c r="F8" i="29" s="1"/>
  <c r="G8" i="24"/>
  <c r="G8" i="29" s="1"/>
  <c r="H8" i="24"/>
  <c r="H8" i="29" s="1"/>
  <c r="C10" i="24"/>
  <c r="C10" i="29" s="1"/>
  <c r="D10" i="24"/>
  <c r="D10" i="29" s="1"/>
  <c r="E10" i="24"/>
  <c r="E10" i="29" s="1"/>
  <c r="F10" i="24"/>
  <c r="G10" i="24"/>
  <c r="H10" i="24"/>
  <c r="H10" i="29" s="1"/>
  <c r="I10" i="24"/>
  <c r="I10" i="29" s="1"/>
  <c r="C11" i="24"/>
  <c r="D11" i="24"/>
  <c r="D11" i="29" s="1"/>
  <c r="E11" i="24"/>
  <c r="E11" i="29" s="1"/>
  <c r="F11" i="24"/>
  <c r="F11" i="29" s="1"/>
  <c r="G11" i="24"/>
  <c r="G11" i="29" s="1"/>
  <c r="H11" i="24"/>
  <c r="H11" i="29" s="1"/>
  <c r="I11" i="24"/>
  <c r="I11" i="29" s="1"/>
  <c r="C12" i="24"/>
  <c r="D12" i="24"/>
  <c r="E12" i="24"/>
  <c r="E12" i="29" s="1"/>
  <c r="F12" i="24"/>
  <c r="F12" i="29" s="1"/>
  <c r="G12" i="24"/>
  <c r="G12" i="29" s="1"/>
  <c r="H12" i="24"/>
  <c r="I12" i="24"/>
  <c r="C13" i="24"/>
  <c r="C13" i="29" s="1"/>
  <c r="D13" i="24"/>
  <c r="E13" i="24"/>
  <c r="E13" i="29" s="1"/>
  <c r="F13" i="24"/>
  <c r="G13" i="24"/>
  <c r="G13" i="29" s="1"/>
  <c r="H13" i="24"/>
  <c r="H13" i="29" s="1"/>
  <c r="I13" i="24"/>
  <c r="I13" i="29" s="1"/>
  <c r="C14" i="24"/>
  <c r="D14" i="24"/>
  <c r="D14" i="29" s="1"/>
  <c r="E14" i="24"/>
  <c r="E14" i="29" s="1"/>
  <c r="F14" i="24"/>
  <c r="F14" i="29" s="1"/>
  <c r="G14" i="24"/>
  <c r="H14" i="24"/>
  <c r="H14" i="29" s="1"/>
  <c r="I14" i="24"/>
  <c r="I14" i="29" s="1"/>
  <c r="C15" i="24"/>
  <c r="C15" i="29" s="1"/>
  <c r="D15" i="24"/>
  <c r="D15" i="29" s="1"/>
  <c r="E15" i="24"/>
  <c r="E15" i="29" s="1"/>
  <c r="F15" i="24"/>
  <c r="F15" i="29" s="1"/>
  <c r="G15" i="24"/>
  <c r="G15" i="29" s="1"/>
  <c r="H15" i="24"/>
  <c r="H15" i="29" s="1"/>
  <c r="I15" i="24"/>
  <c r="I15" i="29" s="1"/>
  <c r="C16" i="24"/>
  <c r="D16" i="24"/>
  <c r="D16" i="29" s="1"/>
  <c r="E16" i="24"/>
  <c r="F16" i="24"/>
  <c r="F16" i="29" s="1"/>
  <c r="G16" i="24"/>
  <c r="H16" i="24"/>
  <c r="H16" i="29" s="1"/>
  <c r="I16" i="24"/>
  <c r="C17" i="24"/>
  <c r="C17" i="29" s="1"/>
  <c r="D17" i="24"/>
  <c r="D17" i="29" s="1"/>
  <c r="E17" i="24"/>
  <c r="F17" i="24"/>
  <c r="F17" i="29" s="1"/>
  <c r="G17" i="24"/>
  <c r="G17" i="29" s="1"/>
  <c r="H17" i="24"/>
  <c r="H17" i="29" s="1"/>
  <c r="I17" i="24"/>
  <c r="C18" i="24"/>
  <c r="C18" i="29" s="1"/>
  <c r="D18" i="24"/>
  <c r="D18" i="29" s="1"/>
  <c r="E18" i="24"/>
  <c r="F18" i="24"/>
  <c r="G18" i="24"/>
  <c r="G18" i="29" s="1"/>
  <c r="H18" i="24"/>
  <c r="H18" i="29" s="1"/>
  <c r="I18" i="24"/>
  <c r="I18" i="29" s="1"/>
  <c r="C19" i="24"/>
  <c r="C19" i="29" s="1"/>
  <c r="D19" i="24"/>
  <c r="D19" i="29" s="1"/>
  <c r="E19" i="24"/>
  <c r="E19" i="29" s="1"/>
  <c r="F19" i="24"/>
  <c r="F19" i="29" s="1"/>
  <c r="G19" i="24"/>
  <c r="G19" i="29" s="1"/>
  <c r="H19" i="24"/>
  <c r="H19" i="29" s="1"/>
  <c r="I19" i="24"/>
  <c r="I19" i="29" s="1"/>
  <c r="C20" i="24"/>
  <c r="C20" i="29" s="1"/>
  <c r="D20" i="24"/>
  <c r="D20" i="29" s="1"/>
  <c r="E20" i="24"/>
  <c r="E20" i="29" s="1"/>
  <c r="F20" i="24"/>
  <c r="F20" i="29" s="1"/>
  <c r="G20" i="24"/>
  <c r="G20" i="29" s="1"/>
  <c r="H20" i="24"/>
  <c r="I20" i="24"/>
  <c r="I20" i="29" s="1"/>
  <c r="C21" i="24"/>
  <c r="C21" i="29" s="1"/>
  <c r="D21" i="24"/>
  <c r="D21" i="29" s="1"/>
  <c r="E21" i="24"/>
  <c r="F21" i="24"/>
  <c r="F21" i="29" s="1"/>
  <c r="G21" i="24"/>
  <c r="G21" i="29" s="1"/>
  <c r="H21" i="24"/>
  <c r="H21" i="29" s="1"/>
  <c r="I21" i="24"/>
  <c r="I21" i="29" s="1"/>
  <c r="C22" i="24"/>
  <c r="C22" i="29" s="1"/>
  <c r="D22" i="24"/>
  <c r="D22" i="29" s="1"/>
  <c r="E22" i="24"/>
  <c r="E22" i="29" s="1"/>
  <c r="F22" i="24"/>
  <c r="G22" i="24"/>
  <c r="G22" i="29" s="1"/>
  <c r="H22" i="24"/>
  <c r="H22" i="29" s="1"/>
  <c r="I22" i="24"/>
  <c r="I22" i="29" s="1"/>
  <c r="C23" i="24"/>
  <c r="D23" i="24"/>
  <c r="D23" i="29" s="1"/>
  <c r="E23" i="24"/>
  <c r="E23" i="29" s="1"/>
  <c r="F23" i="24"/>
  <c r="G23" i="24"/>
  <c r="H23" i="24"/>
  <c r="I23" i="24"/>
  <c r="I23" i="29" s="1"/>
  <c r="C24" i="24"/>
  <c r="C24" i="29" s="1"/>
  <c r="D24" i="24"/>
  <c r="E24" i="24"/>
  <c r="E24" i="29" s="1"/>
  <c r="F24" i="24"/>
  <c r="F24" i="29" s="1"/>
  <c r="G24" i="24"/>
  <c r="G24" i="29" s="1"/>
  <c r="H24" i="24"/>
  <c r="H24" i="29" s="1"/>
  <c r="I24" i="24"/>
  <c r="I24" i="29" s="1"/>
  <c r="C25" i="24"/>
  <c r="C25" i="29" s="1"/>
  <c r="D25" i="24"/>
  <c r="D25" i="29" s="1"/>
  <c r="E25" i="24"/>
  <c r="F25" i="24"/>
  <c r="F25" i="29" s="1"/>
  <c r="G25" i="24"/>
  <c r="G25" i="29" s="1"/>
  <c r="H25" i="24"/>
  <c r="H25" i="29" s="1"/>
  <c r="I25" i="24"/>
  <c r="C26" i="24"/>
  <c r="C26" i="29" s="1"/>
  <c r="D26" i="24"/>
  <c r="D26" i="29" s="1"/>
  <c r="E26" i="24"/>
  <c r="E26" i="29" s="1"/>
  <c r="F26" i="24"/>
  <c r="G26" i="24"/>
  <c r="G26" i="29" s="1"/>
  <c r="H26" i="24"/>
  <c r="H26" i="29" s="1"/>
  <c r="I26" i="24"/>
  <c r="I26" i="29" s="1"/>
  <c r="C27" i="24"/>
  <c r="D27" i="24"/>
  <c r="D27" i="29" s="1"/>
  <c r="E27" i="24"/>
  <c r="E27" i="29" s="1"/>
  <c r="F27" i="24"/>
  <c r="F27" i="29" s="1"/>
  <c r="G27" i="24"/>
  <c r="H27" i="24"/>
  <c r="H27" i="29" s="1"/>
  <c r="I27" i="24"/>
  <c r="I27" i="29" s="1"/>
  <c r="C28" i="24"/>
  <c r="C28" i="29" s="1"/>
  <c r="D28" i="24"/>
  <c r="E28" i="24"/>
  <c r="E28" i="29" s="1"/>
  <c r="F28" i="24"/>
  <c r="F28" i="29" s="1"/>
  <c r="G28" i="24"/>
  <c r="G28" i="29" s="1"/>
  <c r="H28" i="24"/>
  <c r="I28" i="24"/>
  <c r="I28" i="29" s="1"/>
  <c r="J16" i="32"/>
  <c r="J15" i="32"/>
  <c r="J14" i="32"/>
  <c r="J13" i="32"/>
  <c r="D31" i="5"/>
  <c r="F31" i="5"/>
  <c r="D32" i="5"/>
  <c r="F32" i="5"/>
  <c r="D33" i="5"/>
  <c r="F33" i="5"/>
  <c r="D34" i="5"/>
  <c r="F34" i="5"/>
  <c r="D35" i="5"/>
  <c r="F35" i="5"/>
  <c r="F35" i="26"/>
  <c r="F34" i="26"/>
  <c r="F33" i="26"/>
  <c r="F32" i="26"/>
  <c r="F31" i="26"/>
  <c r="E35" i="26"/>
  <c r="E34" i="26"/>
  <c r="E33" i="26"/>
  <c r="E32" i="26"/>
  <c r="E31" i="26"/>
  <c r="D35" i="26"/>
  <c r="D34" i="26"/>
  <c r="D33" i="26"/>
  <c r="D32" i="26"/>
  <c r="D31" i="26"/>
  <c r="F35" i="27"/>
  <c r="F34" i="27"/>
  <c r="F33" i="27"/>
  <c r="F32" i="27"/>
  <c r="F31" i="27"/>
  <c r="E35" i="27"/>
  <c r="E34" i="27"/>
  <c r="E33" i="27"/>
  <c r="E32" i="27"/>
  <c r="E31" i="27"/>
  <c r="D35" i="27"/>
  <c r="D34" i="27"/>
  <c r="D33" i="27"/>
  <c r="D32" i="27"/>
  <c r="D31" i="27"/>
  <c r="F35" i="25"/>
  <c r="F34" i="25"/>
  <c r="F33" i="25"/>
  <c r="F32" i="25"/>
  <c r="F32" i="30" s="1"/>
  <c r="F31" i="25"/>
  <c r="F31" i="30" s="1"/>
  <c r="D35" i="25"/>
  <c r="D34" i="25"/>
  <c r="D34" i="30" s="1"/>
  <c r="D33" i="25"/>
  <c r="D32" i="25"/>
  <c r="D32" i="30" s="1"/>
  <c r="D31" i="25"/>
  <c r="I35" i="23"/>
  <c r="H35" i="23"/>
  <c r="G35" i="23"/>
  <c r="F35" i="23"/>
  <c r="E35" i="23"/>
  <c r="D35" i="23"/>
  <c r="C35" i="23"/>
  <c r="I34" i="23"/>
  <c r="H34" i="23"/>
  <c r="G34" i="23"/>
  <c r="F34" i="23"/>
  <c r="E34" i="23"/>
  <c r="D34" i="23"/>
  <c r="C34" i="23"/>
  <c r="I33" i="23"/>
  <c r="H33" i="23"/>
  <c r="G33" i="23"/>
  <c r="F33" i="23"/>
  <c r="E33" i="23"/>
  <c r="D33" i="23"/>
  <c r="C33" i="23"/>
  <c r="I32" i="23"/>
  <c r="H32" i="23"/>
  <c r="G32" i="23"/>
  <c r="F32" i="23"/>
  <c r="E32" i="23"/>
  <c r="D32" i="23"/>
  <c r="C32" i="23"/>
  <c r="I31" i="23"/>
  <c r="H31" i="23"/>
  <c r="G31" i="23"/>
  <c r="F31" i="23"/>
  <c r="E31" i="23"/>
  <c r="D31" i="23"/>
  <c r="C31" i="23"/>
  <c r="I35" i="32"/>
  <c r="H35" i="32"/>
  <c r="G35" i="32"/>
  <c r="F35" i="32"/>
  <c r="E35" i="32"/>
  <c r="D35" i="32"/>
  <c r="I34" i="32"/>
  <c r="H34" i="32"/>
  <c r="G34" i="32"/>
  <c r="F34" i="32"/>
  <c r="E34" i="32"/>
  <c r="E36" i="32" s="1"/>
  <c r="D34" i="32"/>
  <c r="I33" i="32"/>
  <c r="H33" i="32"/>
  <c r="G33" i="32"/>
  <c r="F33" i="32"/>
  <c r="E33" i="32"/>
  <c r="D33" i="32"/>
  <c r="I32" i="32"/>
  <c r="H32" i="32"/>
  <c r="G32" i="32"/>
  <c r="F32" i="32"/>
  <c r="E32" i="32"/>
  <c r="D32" i="32"/>
  <c r="I31" i="32"/>
  <c r="H31" i="32"/>
  <c r="G31" i="32"/>
  <c r="F31" i="32"/>
  <c r="E31" i="32"/>
  <c r="D31" i="32"/>
  <c r="C34" i="32"/>
  <c r="C35" i="32"/>
  <c r="C31" i="32"/>
  <c r="C33" i="32"/>
  <c r="C32" i="32"/>
  <c r="A1" i="7"/>
  <c r="A1" i="32"/>
  <c r="D6" i="7"/>
  <c r="B7" i="7"/>
  <c r="B8" i="7"/>
  <c r="B9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6" i="7"/>
  <c r="A7" i="7"/>
  <c r="A8" i="7"/>
  <c r="A9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1" i="5"/>
  <c r="A5" i="5"/>
  <c r="B5" i="5"/>
  <c r="A6" i="5"/>
  <c r="B6" i="5"/>
  <c r="A7" i="5"/>
  <c r="B7" i="5"/>
  <c r="A8" i="5"/>
  <c r="B8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D29" i="5"/>
  <c r="F29" i="5"/>
  <c r="F23" i="29"/>
  <c r="H20" i="29"/>
  <c r="F18" i="29"/>
  <c r="E18" i="29"/>
  <c r="I17" i="29"/>
  <c r="E17" i="29"/>
  <c r="I12" i="29"/>
  <c r="G10" i="29"/>
  <c r="E29" i="26"/>
  <c r="E29" i="27"/>
  <c r="D29" i="27"/>
  <c r="E28" i="31"/>
  <c r="D28" i="31"/>
  <c r="B28" i="31"/>
  <c r="A28" i="31"/>
  <c r="E27" i="31"/>
  <c r="D27" i="31"/>
  <c r="B27" i="31"/>
  <c r="A27" i="31"/>
  <c r="E26" i="31"/>
  <c r="D26" i="31"/>
  <c r="B26" i="31"/>
  <c r="A26" i="31"/>
  <c r="E25" i="31"/>
  <c r="D25" i="31"/>
  <c r="B25" i="31"/>
  <c r="A25" i="31"/>
  <c r="E24" i="31"/>
  <c r="D24" i="31"/>
  <c r="B24" i="31"/>
  <c r="A24" i="31"/>
  <c r="E23" i="31"/>
  <c r="D23" i="31"/>
  <c r="B23" i="31"/>
  <c r="A23" i="31"/>
  <c r="E22" i="31"/>
  <c r="D22" i="31"/>
  <c r="B22" i="31"/>
  <c r="A22" i="31"/>
  <c r="E21" i="31"/>
  <c r="D21" i="31"/>
  <c r="B21" i="31"/>
  <c r="A21" i="31"/>
  <c r="E20" i="31"/>
  <c r="D20" i="31"/>
  <c r="B20" i="31"/>
  <c r="A20" i="31"/>
  <c r="E19" i="31"/>
  <c r="D19" i="31"/>
  <c r="B19" i="31"/>
  <c r="A19" i="31"/>
  <c r="E18" i="31"/>
  <c r="D18" i="31"/>
  <c r="B18" i="31"/>
  <c r="A18" i="31"/>
  <c r="E17" i="31"/>
  <c r="D17" i="31"/>
  <c r="B17" i="31"/>
  <c r="A17" i="31"/>
  <c r="E16" i="31"/>
  <c r="D16" i="31"/>
  <c r="B16" i="31"/>
  <c r="A16" i="31"/>
  <c r="E15" i="31"/>
  <c r="D15" i="31"/>
  <c r="B15" i="31"/>
  <c r="A15" i="31"/>
  <c r="E14" i="31"/>
  <c r="D14" i="31"/>
  <c r="B14" i="31"/>
  <c r="A14" i="31"/>
  <c r="E13" i="31"/>
  <c r="D13" i="31"/>
  <c r="B13" i="31"/>
  <c r="A13" i="31"/>
  <c r="E12" i="31"/>
  <c r="D12" i="31"/>
  <c r="B12" i="31"/>
  <c r="A12" i="31"/>
  <c r="E11" i="31"/>
  <c r="D11" i="31"/>
  <c r="B11" i="31"/>
  <c r="A11" i="31"/>
  <c r="E10" i="31"/>
  <c r="D10" i="31"/>
  <c r="B10" i="31"/>
  <c r="A10" i="31"/>
  <c r="E8" i="31"/>
  <c r="D8" i="31"/>
  <c r="B8" i="31"/>
  <c r="A8" i="31"/>
  <c r="E7" i="31"/>
  <c r="D7" i="31"/>
  <c r="B7" i="31"/>
  <c r="A7" i="31"/>
  <c r="E6" i="31"/>
  <c r="D6" i="31"/>
  <c r="B6" i="31"/>
  <c r="A6" i="31"/>
  <c r="G28" i="26"/>
  <c r="D29" i="7" s="1"/>
  <c r="B28" i="26"/>
  <c r="A28" i="26"/>
  <c r="B27" i="26"/>
  <c r="A27" i="26"/>
  <c r="G26" i="26"/>
  <c r="D27" i="7" s="1"/>
  <c r="B26" i="26"/>
  <c r="A26" i="26"/>
  <c r="G25" i="26"/>
  <c r="D26" i="7" s="1"/>
  <c r="B25" i="26"/>
  <c r="A25" i="26"/>
  <c r="G24" i="26"/>
  <c r="B24" i="26"/>
  <c r="A24" i="26"/>
  <c r="B23" i="26"/>
  <c r="A23" i="26"/>
  <c r="B22" i="26"/>
  <c r="A22" i="26"/>
  <c r="G21" i="26"/>
  <c r="D22" i="7" s="1"/>
  <c r="B21" i="26"/>
  <c r="A21" i="26"/>
  <c r="G20" i="26"/>
  <c r="D21" i="7" s="1"/>
  <c r="B20" i="26"/>
  <c r="A20" i="26"/>
  <c r="G19" i="26"/>
  <c r="D20" i="7" s="1"/>
  <c r="B19" i="26"/>
  <c r="A19" i="26"/>
  <c r="G18" i="26"/>
  <c r="B18" i="26"/>
  <c r="A18" i="26"/>
  <c r="B17" i="26"/>
  <c r="A17" i="26"/>
  <c r="B16" i="26"/>
  <c r="A16" i="26"/>
  <c r="B15" i="26"/>
  <c r="A15" i="26"/>
  <c r="G14" i="26"/>
  <c r="D15" i="7" s="1"/>
  <c r="B14" i="26"/>
  <c r="A14" i="26"/>
  <c r="C32" i="26"/>
  <c r="B13" i="26"/>
  <c r="A13" i="26"/>
  <c r="B12" i="26"/>
  <c r="A12" i="26"/>
  <c r="D12" i="7"/>
  <c r="B11" i="26"/>
  <c r="A11" i="26"/>
  <c r="D11" i="7"/>
  <c r="B10" i="26"/>
  <c r="A10" i="26"/>
  <c r="D9" i="7"/>
  <c r="B8" i="26"/>
  <c r="A8" i="26"/>
  <c r="D8" i="7"/>
  <c r="B7" i="26"/>
  <c r="A7" i="26"/>
  <c r="B6" i="26"/>
  <c r="A6" i="26"/>
  <c r="G28" i="27"/>
  <c r="C29" i="7" s="1"/>
  <c r="B28" i="27"/>
  <c r="A28" i="27"/>
  <c r="C35" i="27"/>
  <c r="B27" i="27"/>
  <c r="A27" i="27"/>
  <c r="G26" i="27"/>
  <c r="B26" i="27"/>
  <c r="A26" i="27"/>
  <c r="G25" i="27"/>
  <c r="C26" i="7" s="1"/>
  <c r="B25" i="27"/>
  <c r="A25" i="27"/>
  <c r="G24" i="27"/>
  <c r="C25" i="7" s="1"/>
  <c r="B24" i="27"/>
  <c r="A24" i="27"/>
  <c r="G23" i="27"/>
  <c r="C24" i="7" s="1"/>
  <c r="B23" i="27"/>
  <c r="A23" i="27"/>
  <c r="C34" i="27"/>
  <c r="A22" i="27"/>
  <c r="G21" i="27"/>
  <c r="C22" i="7" s="1"/>
  <c r="A21" i="27"/>
  <c r="G20" i="27"/>
  <c r="C21" i="7" s="1"/>
  <c r="B20" i="27"/>
  <c r="A20" i="27"/>
  <c r="G19" i="27"/>
  <c r="C20" i="7" s="1"/>
  <c r="B19" i="27"/>
  <c r="A19" i="27"/>
  <c r="G18" i="27"/>
  <c r="C19" i="7" s="1"/>
  <c r="B18" i="27"/>
  <c r="A18" i="27"/>
  <c r="B17" i="27"/>
  <c r="A17" i="27"/>
  <c r="B16" i="27"/>
  <c r="A16" i="27"/>
  <c r="G15" i="27"/>
  <c r="C16" i="7" s="1"/>
  <c r="B15" i="27"/>
  <c r="A15" i="27"/>
  <c r="B14" i="27"/>
  <c r="A14" i="27"/>
  <c r="G13" i="27"/>
  <c r="C14" i="7" s="1"/>
  <c r="B13" i="27"/>
  <c r="A13" i="27"/>
  <c r="B12" i="27"/>
  <c r="A12" i="27"/>
  <c r="G11" i="27"/>
  <c r="B11" i="27"/>
  <c r="A11" i="27"/>
  <c r="B10" i="27"/>
  <c r="A10" i="27"/>
  <c r="B8" i="27"/>
  <c r="A8" i="27"/>
  <c r="G7" i="27"/>
  <c r="C8" i="7" s="1"/>
  <c r="B7" i="27"/>
  <c r="A7" i="27"/>
  <c r="G6" i="27"/>
  <c r="C7" i="7" s="1"/>
  <c r="B6" i="27"/>
  <c r="A6" i="27"/>
  <c r="F28" i="30"/>
  <c r="D28" i="30"/>
  <c r="B28" i="30"/>
  <c r="A28" i="30"/>
  <c r="F27" i="30"/>
  <c r="D27" i="30"/>
  <c r="B27" i="30"/>
  <c r="A27" i="30"/>
  <c r="F26" i="30"/>
  <c r="D26" i="30"/>
  <c r="B26" i="30"/>
  <c r="A26" i="30"/>
  <c r="F25" i="30"/>
  <c r="D25" i="30"/>
  <c r="B25" i="30"/>
  <c r="A25" i="30"/>
  <c r="F24" i="30"/>
  <c r="D24" i="30"/>
  <c r="B24" i="30"/>
  <c r="A24" i="30"/>
  <c r="F23" i="30"/>
  <c r="D23" i="30"/>
  <c r="B23" i="30"/>
  <c r="A23" i="30"/>
  <c r="F22" i="30"/>
  <c r="D22" i="30"/>
  <c r="B22" i="30"/>
  <c r="A22" i="30"/>
  <c r="F21" i="30"/>
  <c r="D21" i="30"/>
  <c r="B21" i="30"/>
  <c r="A21" i="30"/>
  <c r="F20" i="30"/>
  <c r="D20" i="30"/>
  <c r="B20" i="30"/>
  <c r="A20" i="30"/>
  <c r="F19" i="30"/>
  <c r="D19" i="30"/>
  <c r="B19" i="30"/>
  <c r="A19" i="30"/>
  <c r="F18" i="30"/>
  <c r="D18" i="30"/>
  <c r="B18" i="30"/>
  <c r="A18" i="30"/>
  <c r="F17" i="30"/>
  <c r="D17" i="30"/>
  <c r="B17" i="30"/>
  <c r="A17" i="30"/>
  <c r="F16" i="30"/>
  <c r="D16" i="30"/>
  <c r="B16" i="30"/>
  <c r="A16" i="30"/>
  <c r="F15" i="30"/>
  <c r="D15" i="30"/>
  <c r="B15" i="30"/>
  <c r="A15" i="30"/>
  <c r="F14" i="30"/>
  <c r="D14" i="30"/>
  <c r="B14" i="30"/>
  <c r="A14" i="30"/>
  <c r="F13" i="30"/>
  <c r="D13" i="30"/>
  <c r="B13" i="30"/>
  <c r="A13" i="30"/>
  <c r="F12" i="30"/>
  <c r="D12" i="30"/>
  <c r="B12" i="30"/>
  <c r="A12" i="30"/>
  <c r="F11" i="30"/>
  <c r="D11" i="30"/>
  <c r="B11" i="30"/>
  <c r="A11" i="30"/>
  <c r="F10" i="30"/>
  <c r="D10" i="30"/>
  <c r="B10" i="30"/>
  <c r="A10" i="30"/>
  <c r="F8" i="30"/>
  <c r="D8" i="30"/>
  <c r="B8" i="30"/>
  <c r="A8" i="30"/>
  <c r="F7" i="30"/>
  <c r="D7" i="30"/>
  <c r="B7" i="30"/>
  <c r="A7" i="30"/>
  <c r="F6" i="30"/>
  <c r="D6" i="30"/>
  <c r="B6" i="30"/>
  <c r="A6" i="30"/>
  <c r="B28" i="25"/>
  <c r="A28" i="25"/>
  <c r="B27" i="25"/>
  <c r="A27" i="25"/>
  <c r="B26" i="25"/>
  <c r="A26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B13" i="25"/>
  <c r="A13" i="25"/>
  <c r="B12" i="25"/>
  <c r="A12" i="25"/>
  <c r="B11" i="25"/>
  <c r="A11" i="25"/>
  <c r="B10" i="25"/>
  <c r="A10" i="25"/>
  <c r="B8" i="25"/>
  <c r="A8" i="25"/>
  <c r="B7" i="25"/>
  <c r="A7" i="25"/>
  <c r="B6" i="25"/>
  <c r="A6" i="25"/>
  <c r="B28" i="29"/>
  <c r="A28" i="29"/>
  <c r="B27" i="29"/>
  <c r="A27" i="29"/>
  <c r="B26" i="29"/>
  <c r="A26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B13" i="29"/>
  <c r="A13" i="29"/>
  <c r="B12" i="29"/>
  <c r="A12" i="29"/>
  <c r="B11" i="29"/>
  <c r="A11" i="29"/>
  <c r="B10" i="29"/>
  <c r="A10" i="29"/>
  <c r="B8" i="29"/>
  <c r="A8" i="29"/>
  <c r="B7" i="29"/>
  <c r="A7" i="29"/>
  <c r="B6" i="29"/>
  <c r="A6" i="29"/>
  <c r="B28" i="23"/>
  <c r="A28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B13" i="23"/>
  <c r="A13" i="23"/>
  <c r="B12" i="23"/>
  <c r="A12" i="23"/>
  <c r="B11" i="23"/>
  <c r="A11" i="23"/>
  <c r="B10" i="23"/>
  <c r="A10" i="23"/>
  <c r="B8" i="23"/>
  <c r="A8" i="23"/>
  <c r="B7" i="23"/>
  <c r="A7" i="23"/>
  <c r="B6" i="23"/>
  <c r="A6" i="23"/>
  <c r="J28" i="23"/>
  <c r="C28" i="5" s="1"/>
  <c r="E28" i="5" s="1"/>
  <c r="G28" i="5" s="1"/>
  <c r="J27" i="23"/>
  <c r="J26" i="23"/>
  <c r="C26" i="5" s="1"/>
  <c r="E26" i="5" s="1"/>
  <c r="G26" i="5" s="1"/>
  <c r="F27" i="7" s="1"/>
  <c r="J25" i="23"/>
  <c r="C25" i="5" s="1"/>
  <c r="J24" i="23"/>
  <c r="C24" i="5" s="1"/>
  <c r="E24" i="5" s="1"/>
  <c r="J23" i="23"/>
  <c r="J22" i="23"/>
  <c r="C22" i="5" s="1"/>
  <c r="E22" i="5" s="1"/>
  <c r="G22" i="5" s="1"/>
  <c r="F23" i="7" s="1"/>
  <c r="J21" i="23"/>
  <c r="C21" i="5" s="1"/>
  <c r="E21" i="5" s="1"/>
  <c r="G21" i="5" s="1"/>
  <c r="F22" i="7" s="1"/>
  <c r="J20" i="23"/>
  <c r="C20" i="5" s="1"/>
  <c r="E20" i="5" s="1"/>
  <c r="G20" i="5" s="1"/>
  <c r="F21" i="7" s="1"/>
  <c r="J19" i="23"/>
  <c r="C19" i="5" s="1"/>
  <c r="E19" i="5" s="1"/>
  <c r="G19" i="5" s="1"/>
  <c r="F20" i="7" s="1"/>
  <c r="J18" i="23"/>
  <c r="C18" i="5" s="1"/>
  <c r="E18" i="5" s="1"/>
  <c r="G18" i="5" s="1"/>
  <c r="F19" i="7" s="1"/>
  <c r="J17" i="23"/>
  <c r="C17" i="5" s="1"/>
  <c r="E17" i="5" s="1"/>
  <c r="G17" i="5" s="1"/>
  <c r="F18" i="7" s="1"/>
  <c r="J16" i="23"/>
  <c r="C16" i="5" s="1"/>
  <c r="J15" i="23"/>
  <c r="C15" i="5" s="1"/>
  <c r="E15" i="5" s="1"/>
  <c r="G15" i="5" s="1"/>
  <c r="F16" i="7" s="1"/>
  <c r="J14" i="23"/>
  <c r="C14" i="5" s="1"/>
  <c r="E14" i="5" s="1"/>
  <c r="G14" i="5" s="1"/>
  <c r="F15" i="7" s="1"/>
  <c r="J13" i="23"/>
  <c r="C13" i="5" s="1"/>
  <c r="E13" i="5" s="1"/>
  <c r="G13" i="5" s="1"/>
  <c r="F14" i="7" s="1"/>
  <c r="A28" i="24"/>
  <c r="B27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B13" i="24"/>
  <c r="A13" i="24"/>
  <c r="B12" i="24"/>
  <c r="A12" i="24"/>
  <c r="B11" i="24"/>
  <c r="A11" i="24"/>
  <c r="B10" i="24"/>
  <c r="A10" i="24"/>
  <c r="B8" i="24"/>
  <c r="A8" i="24"/>
  <c r="B7" i="24"/>
  <c r="A7" i="24"/>
  <c r="B6" i="24"/>
  <c r="A6" i="24"/>
  <c r="A5" i="23"/>
  <c r="B5" i="23"/>
  <c r="B5" i="24"/>
  <c r="J28" i="32"/>
  <c r="J27" i="32"/>
  <c r="J26" i="32"/>
  <c r="J25" i="32"/>
  <c r="J24" i="32"/>
  <c r="J23" i="32"/>
  <c r="J22" i="32"/>
  <c r="J21" i="32"/>
  <c r="J20" i="32"/>
  <c r="J19" i="32"/>
  <c r="J18" i="32"/>
  <c r="J17" i="32"/>
  <c r="J12" i="32"/>
  <c r="J11" i="32"/>
  <c r="J10" i="32"/>
  <c r="J8" i="32"/>
  <c r="J7" i="32"/>
  <c r="J6" i="32"/>
  <c r="J5" i="32"/>
  <c r="C10" i="5"/>
  <c r="E10" i="5" s="1"/>
  <c r="G10" i="5" s="1"/>
  <c r="G22" i="26"/>
  <c r="G12" i="26"/>
  <c r="D13" i="7" s="1"/>
  <c r="G16" i="26"/>
  <c r="D17" i="7" s="1"/>
  <c r="C32" i="27"/>
  <c r="G16" i="27"/>
  <c r="C17" i="7" s="1"/>
  <c r="C33" i="27"/>
  <c r="C12" i="5"/>
  <c r="E12" i="5" s="1"/>
  <c r="G27" i="27"/>
  <c r="C28" i="7" s="1"/>
  <c r="G27" i="26"/>
  <c r="D28" i="7" s="1"/>
  <c r="G17" i="27"/>
  <c r="C16" i="31"/>
  <c r="C20" i="31"/>
  <c r="C24" i="31"/>
  <c r="I29" i="23"/>
  <c r="C29" i="23"/>
  <c r="D29" i="23"/>
  <c r="E29" i="23"/>
  <c r="F29" i="23"/>
  <c r="G29" i="23"/>
  <c r="H29" i="23"/>
  <c r="C5" i="5"/>
  <c r="B5" i="31"/>
  <c r="A5" i="31"/>
  <c r="B5" i="26"/>
  <c r="A5" i="26"/>
  <c r="B5" i="27"/>
  <c r="A5" i="27"/>
  <c r="B5" i="30"/>
  <c r="A5" i="30"/>
  <c r="B5" i="25"/>
  <c r="A5" i="25"/>
  <c r="B5" i="29"/>
  <c r="A5" i="29"/>
  <c r="A5" i="24"/>
  <c r="F29" i="25"/>
  <c r="E5" i="31"/>
  <c r="F29" i="26"/>
  <c r="D29" i="26"/>
  <c r="D5" i="31"/>
  <c r="G5" i="27"/>
  <c r="D5" i="30"/>
  <c r="F5" i="30"/>
  <c r="A1" i="31"/>
  <c r="A1" i="27"/>
  <c r="A1" i="30"/>
  <c r="A1" i="25"/>
  <c r="A1" i="29"/>
  <c r="D29" i="25"/>
  <c r="D33" i="31" l="1"/>
  <c r="E32" i="31"/>
  <c r="I36" i="23"/>
  <c r="D31" i="31"/>
  <c r="D35" i="31"/>
  <c r="E31" i="31"/>
  <c r="E35" i="31"/>
  <c r="E34" i="31"/>
  <c r="F29" i="30"/>
  <c r="C31" i="27"/>
  <c r="C36" i="27" s="1"/>
  <c r="G10" i="27"/>
  <c r="C11" i="7" s="1"/>
  <c r="C5" i="31"/>
  <c r="C28" i="31"/>
  <c r="G8" i="27"/>
  <c r="C9" i="7" s="1"/>
  <c r="G9" i="7" s="1"/>
  <c r="G14" i="27"/>
  <c r="F14" i="31" s="1"/>
  <c r="C26" i="31"/>
  <c r="C11" i="31"/>
  <c r="C12" i="31"/>
  <c r="G12" i="27"/>
  <c r="F12" i="31" s="1"/>
  <c r="F36" i="26"/>
  <c r="D34" i="31"/>
  <c r="F35" i="30"/>
  <c r="D35" i="30"/>
  <c r="D31" i="30"/>
  <c r="D36" i="25"/>
  <c r="F36" i="23"/>
  <c r="G36" i="23"/>
  <c r="D36" i="23"/>
  <c r="E36" i="23"/>
  <c r="C36" i="23"/>
  <c r="H36" i="23"/>
  <c r="J34" i="23"/>
  <c r="J35" i="23"/>
  <c r="D36" i="32"/>
  <c r="F35" i="24"/>
  <c r="F35" i="29" s="1"/>
  <c r="J12" i="24"/>
  <c r="C12" i="25" s="1"/>
  <c r="C23" i="5"/>
  <c r="E23" i="5" s="1"/>
  <c r="G23" i="5" s="1"/>
  <c r="F24" i="7" s="1"/>
  <c r="J32" i="23"/>
  <c r="C27" i="5"/>
  <c r="E27" i="5" s="1"/>
  <c r="G27" i="5" s="1"/>
  <c r="F28" i="7" s="1"/>
  <c r="J33" i="23"/>
  <c r="C22" i="31"/>
  <c r="C15" i="31"/>
  <c r="C23" i="31"/>
  <c r="C27" i="31"/>
  <c r="C29" i="26"/>
  <c r="C14" i="31"/>
  <c r="C33" i="26"/>
  <c r="C33" i="31" s="1"/>
  <c r="C25" i="31"/>
  <c r="C13" i="31"/>
  <c r="G23" i="26"/>
  <c r="F23" i="31" s="1"/>
  <c r="G13" i="26"/>
  <c r="F13" i="31" s="1"/>
  <c r="C35" i="26"/>
  <c r="C35" i="31" s="1"/>
  <c r="C34" i="26"/>
  <c r="C34" i="31" s="1"/>
  <c r="G15" i="26"/>
  <c r="D16" i="7" s="1"/>
  <c r="G16" i="7" s="1"/>
  <c r="D36" i="26"/>
  <c r="D29" i="31"/>
  <c r="C32" i="31"/>
  <c r="F36" i="27"/>
  <c r="C12" i="29"/>
  <c r="J8" i="24"/>
  <c r="C8" i="25" s="1"/>
  <c r="J33" i="32"/>
  <c r="J34" i="32"/>
  <c r="C36" i="32"/>
  <c r="F36" i="32"/>
  <c r="I32" i="24"/>
  <c r="I32" i="29" s="1"/>
  <c r="J32" i="32"/>
  <c r="I35" i="24"/>
  <c r="H34" i="24"/>
  <c r="H34" i="29" s="1"/>
  <c r="G36" i="32"/>
  <c r="I36" i="32"/>
  <c r="J25" i="24"/>
  <c r="C25" i="25" s="1"/>
  <c r="J21" i="24"/>
  <c r="C21" i="25" s="1"/>
  <c r="E33" i="31"/>
  <c r="J29" i="23"/>
  <c r="D29" i="24"/>
  <c r="J29" i="32"/>
  <c r="J35" i="32"/>
  <c r="H36" i="32"/>
  <c r="E16" i="5"/>
  <c r="C33" i="5"/>
  <c r="E25" i="5"/>
  <c r="G25" i="5" s="1"/>
  <c r="F26" i="7" s="1"/>
  <c r="G12" i="5"/>
  <c r="F13" i="7" s="1"/>
  <c r="F35" i="7" s="1"/>
  <c r="E32" i="5"/>
  <c r="G24" i="5"/>
  <c r="F25" i="7" s="1"/>
  <c r="C32" i="5"/>
  <c r="J31" i="23"/>
  <c r="I35" i="29"/>
  <c r="H23" i="29"/>
  <c r="D34" i="24"/>
  <c r="D34" i="29" s="1"/>
  <c r="J18" i="24"/>
  <c r="J31" i="32"/>
  <c r="E21" i="29"/>
  <c r="J15" i="24"/>
  <c r="J15" i="29" s="1"/>
  <c r="E35" i="24"/>
  <c r="E35" i="29" s="1"/>
  <c r="D32" i="31"/>
  <c r="F27" i="31"/>
  <c r="G31" i="26"/>
  <c r="F11" i="31"/>
  <c r="C19" i="31"/>
  <c r="C10" i="31"/>
  <c r="D38" i="7"/>
  <c r="G17" i="26"/>
  <c r="D18" i="7" s="1"/>
  <c r="C18" i="31"/>
  <c r="C8" i="31"/>
  <c r="C21" i="31"/>
  <c r="C17" i="31"/>
  <c r="C6" i="31"/>
  <c r="C31" i="26"/>
  <c r="C7" i="31"/>
  <c r="D36" i="27"/>
  <c r="C27" i="7"/>
  <c r="G27" i="7" s="1"/>
  <c r="F26" i="31"/>
  <c r="C29" i="27"/>
  <c r="G22" i="27"/>
  <c r="C23" i="7" s="1"/>
  <c r="F24" i="31"/>
  <c r="F20" i="31"/>
  <c r="F36" i="25"/>
  <c r="F33" i="30"/>
  <c r="F36" i="5"/>
  <c r="D29" i="30"/>
  <c r="F29" i="7"/>
  <c r="D36" i="5"/>
  <c r="G16" i="29"/>
  <c r="G33" i="24"/>
  <c r="G33" i="29" s="1"/>
  <c r="D13" i="29"/>
  <c r="J13" i="24"/>
  <c r="J11" i="24"/>
  <c r="C11" i="29"/>
  <c r="J10" i="24"/>
  <c r="F10" i="29"/>
  <c r="I29" i="24"/>
  <c r="I31" i="24"/>
  <c r="I8" i="29"/>
  <c r="E29" i="24"/>
  <c r="E31" i="24"/>
  <c r="E8" i="29"/>
  <c r="J7" i="24"/>
  <c r="J7" i="29" s="1"/>
  <c r="D7" i="29"/>
  <c r="G31" i="24"/>
  <c r="G6" i="29"/>
  <c r="G29" i="24"/>
  <c r="C31" i="24"/>
  <c r="J6" i="24"/>
  <c r="J6" i="29" s="1"/>
  <c r="C6" i="29"/>
  <c r="J5" i="24"/>
  <c r="J5" i="29" s="1"/>
  <c r="F31" i="24"/>
  <c r="F29" i="24"/>
  <c r="F5" i="29"/>
  <c r="D31" i="24"/>
  <c r="F33" i="24"/>
  <c r="F33" i="29" s="1"/>
  <c r="I16" i="29"/>
  <c r="I33" i="24"/>
  <c r="I33" i="29" s="1"/>
  <c r="G14" i="29"/>
  <c r="G32" i="24"/>
  <c r="G32" i="29" s="1"/>
  <c r="F13" i="29"/>
  <c r="F32" i="24"/>
  <c r="F32" i="29" s="1"/>
  <c r="H32" i="24"/>
  <c r="H32" i="29" s="1"/>
  <c r="H12" i="29"/>
  <c r="J25" i="29"/>
  <c r="H31" i="24"/>
  <c r="H35" i="24"/>
  <c r="H35" i="29" s="1"/>
  <c r="H28" i="29"/>
  <c r="D35" i="24"/>
  <c r="D35" i="29" s="1"/>
  <c r="J28" i="24"/>
  <c r="D28" i="29"/>
  <c r="G35" i="24"/>
  <c r="G35" i="29" s="1"/>
  <c r="G27" i="29"/>
  <c r="C35" i="24"/>
  <c r="C35" i="29" s="1"/>
  <c r="J27" i="24"/>
  <c r="C27" i="29"/>
  <c r="F26" i="29"/>
  <c r="J26" i="24"/>
  <c r="I25" i="29"/>
  <c r="I34" i="24"/>
  <c r="I34" i="29" s="1"/>
  <c r="E25" i="29"/>
  <c r="E34" i="24"/>
  <c r="E34" i="29" s="1"/>
  <c r="J24" i="24"/>
  <c r="D24" i="29"/>
  <c r="G34" i="24"/>
  <c r="G34" i="29" s="1"/>
  <c r="G23" i="29"/>
  <c r="J23" i="24"/>
  <c r="C34" i="24"/>
  <c r="C34" i="29" s="1"/>
  <c r="C23" i="29"/>
  <c r="F22" i="29"/>
  <c r="F34" i="24"/>
  <c r="F34" i="29" s="1"/>
  <c r="J22" i="24"/>
  <c r="J20" i="24"/>
  <c r="J19" i="24"/>
  <c r="J17" i="24"/>
  <c r="C16" i="29"/>
  <c r="C33" i="24"/>
  <c r="C33" i="29" s="1"/>
  <c r="J16" i="24"/>
  <c r="D32" i="24"/>
  <c r="D32" i="29" s="1"/>
  <c r="D12" i="29"/>
  <c r="H29" i="24"/>
  <c r="C29" i="24"/>
  <c r="E32" i="24"/>
  <c r="E32" i="29" s="1"/>
  <c r="H33" i="24"/>
  <c r="H33" i="29" s="1"/>
  <c r="D33" i="24"/>
  <c r="D33" i="29" s="1"/>
  <c r="E16" i="29"/>
  <c r="E33" i="24"/>
  <c r="E33" i="29" s="1"/>
  <c r="C14" i="29"/>
  <c r="J14" i="24"/>
  <c r="C32" i="24"/>
  <c r="C32" i="29" s="1"/>
  <c r="D7" i="7"/>
  <c r="D34" i="7" s="1"/>
  <c r="C12" i="7"/>
  <c r="G12" i="7" s="1"/>
  <c r="C7" i="5"/>
  <c r="C6" i="5"/>
  <c r="E5" i="5"/>
  <c r="G5" i="5" s="1"/>
  <c r="F6" i="7" s="1"/>
  <c r="D33" i="30"/>
  <c r="G35" i="26"/>
  <c r="G33" i="27"/>
  <c r="F18" i="31"/>
  <c r="F5" i="31"/>
  <c r="C6" i="7"/>
  <c r="F25" i="31"/>
  <c r="G28" i="7"/>
  <c r="D19" i="7"/>
  <c r="D25" i="7"/>
  <c r="G25" i="7" s="1"/>
  <c r="F19" i="31"/>
  <c r="F11" i="7"/>
  <c r="F34" i="30"/>
  <c r="D23" i="7"/>
  <c r="G20" i="7"/>
  <c r="G17" i="7"/>
  <c r="C18" i="7"/>
  <c r="C36" i="7" s="1"/>
  <c r="F16" i="31"/>
  <c r="E36" i="27"/>
  <c r="E36" i="31" s="1"/>
  <c r="F6" i="31"/>
  <c r="G35" i="27"/>
  <c r="G11" i="7"/>
  <c r="C38" i="7"/>
  <c r="G29" i="7"/>
  <c r="G8" i="7"/>
  <c r="G26" i="7"/>
  <c r="G21" i="7"/>
  <c r="G22" i="7"/>
  <c r="F7" i="31"/>
  <c r="F28" i="31"/>
  <c r="F21" i="31"/>
  <c r="F15" i="31" l="1"/>
  <c r="G31" i="27"/>
  <c r="F31" i="31" s="1"/>
  <c r="G34" i="26"/>
  <c r="F8" i="31"/>
  <c r="G35" i="5"/>
  <c r="D36" i="31"/>
  <c r="D24" i="7"/>
  <c r="G24" i="7" s="1"/>
  <c r="G32" i="26"/>
  <c r="F10" i="31"/>
  <c r="E35" i="5"/>
  <c r="D36" i="30"/>
  <c r="J12" i="29"/>
  <c r="C15" i="25"/>
  <c r="E15" i="25" s="1"/>
  <c r="C15" i="7"/>
  <c r="G15" i="7" s="1"/>
  <c r="F36" i="30"/>
  <c r="J36" i="23"/>
  <c r="F38" i="7"/>
  <c r="C34" i="5"/>
  <c r="C34" i="7"/>
  <c r="G34" i="7" s="1"/>
  <c r="C35" i="5"/>
  <c r="D36" i="7"/>
  <c r="G36" i="7" s="1"/>
  <c r="F35" i="31"/>
  <c r="C29" i="31"/>
  <c r="D14" i="7"/>
  <c r="G14" i="7" s="1"/>
  <c r="C36" i="26"/>
  <c r="C36" i="31" s="1"/>
  <c r="G7" i="7"/>
  <c r="G32" i="5"/>
  <c r="G29" i="27"/>
  <c r="F22" i="31"/>
  <c r="J29" i="24"/>
  <c r="J32" i="24"/>
  <c r="J32" i="29" s="1"/>
  <c r="C5" i="25"/>
  <c r="C7" i="25"/>
  <c r="E7" i="25" s="1"/>
  <c r="G7" i="25" s="1"/>
  <c r="E8" i="7" s="1"/>
  <c r="J8" i="29"/>
  <c r="J31" i="24"/>
  <c r="J31" i="29" s="1"/>
  <c r="J21" i="29"/>
  <c r="C6" i="25"/>
  <c r="E6" i="25" s="1"/>
  <c r="G6" i="25" s="1"/>
  <c r="J36" i="32"/>
  <c r="E34" i="5"/>
  <c r="C37" i="7"/>
  <c r="G34" i="5"/>
  <c r="G16" i="5"/>
  <c r="E33" i="5"/>
  <c r="J18" i="29"/>
  <c r="C18" i="25"/>
  <c r="F17" i="31"/>
  <c r="G29" i="26"/>
  <c r="C31" i="31"/>
  <c r="G19" i="7"/>
  <c r="G33" i="26"/>
  <c r="C13" i="7"/>
  <c r="G32" i="27"/>
  <c r="G23" i="7"/>
  <c r="G34" i="27"/>
  <c r="J20" i="29"/>
  <c r="C20" i="25"/>
  <c r="J34" i="24"/>
  <c r="J34" i="29" s="1"/>
  <c r="C22" i="25"/>
  <c r="J22" i="29"/>
  <c r="C12" i="30"/>
  <c r="E12" i="25"/>
  <c r="G31" i="29"/>
  <c r="G36" i="24"/>
  <c r="G36" i="29" s="1"/>
  <c r="E31" i="29"/>
  <c r="E36" i="24"/>
  <c r="E36" i="29" s="1"/>
  <c r="C11" i="25"/>
  <c r="J11" i="29"/>
  <c r="C25" i="30"/>
  <c r="E25" i="25"/>
  <c r="I31" i="29"/>
  <c r="I36" i="24"/>
  <c r="I36" i="29" s="1"/>
  <c r="C17" i="25"/>
  <c r="J17" i="29"/>
  <c r="C23" i="25"/>
  <c r="J23" i="29"/>
  <c r="C24" i="25"/>
  <c r="J24" i="29"/>
  <c r="C27" i="25"/>
  <c r="J35" i="24"/>
  <c r="J35" i="29" s="1"/>
  <c r="J27" i="29"/>
  <c r="D31" i="29"/>
  <c r="D36" i="24"/>
  <c r="D36" i="29" s="1"/>
  <c r="F36" i="24"/>
  <c r="F36" i="29" s="1"/>
  <c r="F31" i="29"/>
  <c r="C36" i="24"/>
  <c r="C36" i="29" s="1"/>
  <c r="C31" i="29"/>
  <c r="J13" i="29"/>
  <c r="C13" i="25"/>
  <c r="J14" i="29"/>
  <c r="C14" i="25"/>
  <c r="E21" i="25"/>
  <c r="C21" i="30"/>
  <c r="C16" i="25"/>
  <c r="J33" i="24"/>
  <c r="J33" i="29" s="1"/>
  <c r="J16" i="29"/>
  <c r="C19" i="25"/>
  <c r="J19" i="29"/>
  <c r="C26" i="25"/>
  <c r="J26" i="29"/>
  <c r="C28" i="25"/>
  <c r="J28" i="29"/>
  <c r="H36" i="24"/>
  <c r="H36" i="29" s="1"/>
  <c r="H31" i="29"/>
  <c r="J10" i="29"/>
  <c r="C10" i="25"/>
  <c r="C7" i="30"/>
  <c r="E7" i="5"/>
  <c r="E6" i="5"/>
  <c r="C29" i="5"/>
  <c r="C6" i="30"/>
  <c r="C31" i="5"/>
  <c r="C8" i="30"/>
  <c r="E8" i="25"/>
  <c r="E7" i="7"/>
  <c r="F37" i="7"/>
  <c r="G6" i="7"/>
  <c r="G18" i="7"/>
  <c r="G38" i="7"/>
  <c r="D37" i="7" l="1"/>
  <c r="F32" i="31"/>
  <c r="G36" i="26"/>
  <c r="F29" i="31"/>
  <c r="C36" i="5"/>
  <c r="C15" i="30"/>
  <c r="C30" i="7"/>
  <c r="D30" i="7"/>
  <c r="E31" i="5"/>
  <c r="E36" i="5" s="1"/>
  <c r="D35" i="7"/>
  <c r="D39" i="7" s="1"/>
  <c r="G36" i="27"/>
  <c r="C32" i="25"/>
  <c r="C32" i="30" s="1"/>
  <c r="C31" i="25"/>
  <c r="C31" i="30" s="1"/>
  <c r="E5" i="25"/>
  <c r="C5" i="30"/>
  <c r="F33" i="31"/>
  <c r="F34" i="31"/>
  <c r="F17" i="7"/>
  <c r="F36" i="7" s="1"/>
  <c r="G33" i="5"/>
  <c r="E18" i="25"/>
  <c r="C18" i="30"/>
  <c r="G13" i="7"/>
  <c r="C35" i="7"/>
  <c r="G21" i="25"/>
  <c r="E21" i="30"/>
  <c r="C11" i="30"/>
  <c r="E11" i="25"/>
  <c r="E26" i="25"/>
  <c r="C26" i="30"/>
  <c r="E14" i="25"/>
  <c r="C14" i="30"/>
  <c r="E13" i="25"/>
  <c r="C13" i="30"/>
  <c r="E24" i="25"/>
  <c r="C24" i="30"/>
  <c r="E17" i="25"/>
  <c r="C17" i="30"/>
  <c r="G25" i="25"/>
  <c r="E25" i="30"/>
  <c r="E20" i="25"/>
  <c r="C20" i="30"/>
  <c r="G15" i="25"/>
  <c r="E15" i="30"/>
  <c r="E10" i="25"/>
  <c r="C10" i="30"/>
  <c r="J36" i="24"/>
  <c r="J36" i="29" s="1"/>
  <c r="C33" i="25"/>
  <c r="C33" i="30" s="1"/>
  <c r="E16" i="25"/>
  <c r="C16" i="30"/>
  <c r="C29" i="25"/>
  <c r="C29" i="30" s="1"/>
  <c r="C28" i="30"/>
  <c r="E28" i="25"/>
  <c r="E19" i="25"/>
  <c r="C19" i="30"/>
  <c r="C35" i="25"/>
  <c r="C35" i="30" s="1"/>
  <c r="C27" i="30"/>
  <c r="E27" i="25"/>
  <c r="C23" i="30"/>
  <c r="E23" i="25"/>
  <c r="G12" i="25"/>
  <c r="E12" i="30"/>
  <c r="E22" i="25"/>
  <c r="C34" i="25"/>
  <c r="C34" i="30" s="1"/>
  <c r="C22" i="30"/>
  <c r="G7" i="5"/>
  <c r="E7" i="30"/>
  <c r="G6" i="5"/>
  <c r="E29" i="5"/>
  <c r="E6" i="30"/>
  <c r="G8" i="25"/>
  <c r="E8" i="30"/>
  <c r="G37" i="7"/>
  <c r="E32" i="25" l="1"/>
  <c r="E32" i="30" s="1"/>
  <c r="F36" i="31"/>
  <c r="G30" i="7"/>
  <c r="E5" i="30"/>
  <c r="G5" i="25"/>
  <c r="E31" i="25"/>
  <c r="E31" i="30" s="1"/>
  <c r="E18" i="30"/>
  <c r="G18" i="25"/>
  <c r="C39" i="7"/>
  <c r="G39" i="7" s="1"/>
  <c r="G35" i="7"/>
  <c r="E22" i="30"/>
  <c r="E34" i="25"/>
  <c r="E34" i="30" s="1"/>
  <c r="G22" i="25"/>
  <c r="E23" i="30"/>
  <c r="G23" i="25"/>
  <c r="G15" i="30"/>
  <c r="E16" i="7"/>
  <c r="E26" i="7"/>
  <c r="G25" i="30"/>
  <c r="E24" i="30"/>
  <c r="G24" i="25"/>
  <c r="E14" i="30"/>
  <c r="G14" i="25"/>
  <c r="G11" i="25"/>
  <c r="E11" i="30"/>
  <c r="C36" i="25"/>
  <c r="C36" i="30" s="1"/>
  <c r="E35" i="25"/>
  <c r="E35" i="30" s="1"/>
  <c r="G27" i="25"/>
  <c r="E27" i="30"/>
  <c r="G19" i="25"/>
  <c r="E19" i="30"/>
  <c r="E29" i="25"/>
  <c r="E13" i="7"/>
  <c r="G12" i="30"/>
  <c r="G28" i="25"/>
  <c r="E28" i="30"/>
  <c r="G16" i="25"/>
  <c r="E16" i="30"/>
  <c r="E10" i="30"/>
  <c r="G10" i="25"/>
  <c r="E33" i="25"/>
  <c r="E33" i="30" s="1"/>
  <c r="G20" i="25"/>
  <c r="E20" i="30"/>
  <c r="E17" i="30"/>
  <c r="G17" i="25"/>
  <c r="G13" i="25"/>
  <c r="E13" i="30"/>
  <c r="G26" i="25"/>
  <c r="E26" i="30"/>
  <c r="G21" i="30"/>
  <c r="E22" i="7"/>
  <c r="F7" i="7"/>
  <c r="G29" i="5"/>
  <c r="G31" i="5"/>
  <c r="G36" i="5" s="1"/>
  <c r="G6" i="30"/>
  <c r="E29" i="30"/>
  <c r="F8" i="7"/>
  <c r="G7" i="30"/>
  <c r="E9" i="7"/>
  <c r="G8" i="30"/>
  <c r="G31" i="25" l="1"/>
  <c r="G32" i="25"/>
  <c r="G32" i="30" s="1"/>
  <c r="E6" i="7"/>
  <c r="G5" i="30"/>
  <c r="G18" i="30"/>
  <c r="E19" i="7"/>
  <c r="G29" i="25"/>
  <c r="G29" i="30" s="1"/>
  <c r="I13" i="7"/>
  <c r="H13" i="7"/>
  <c r="G19" i="30"/>
  <c r="E20" i="7"/>
  <c r="E27" i="7"/>
  <c r="G26" i="30"/>
  <c r="E11" i="7"/>
  <c r="G10" i="30"/>
  <c r="G24" i="30"/>
  <c r="E25" i="7"/>
  <c r="H16" i="7"/>
  <c r="I16" i="7"/>
  <c r="G22" i="30"/>
  <c r="E23" i="7"/>
  <c r="G34" i="25"/>
  <c r="G34" i="30" s="1"/>
  <c r="E17" i="7"/>
  <c r="G16" i="30"/>
  <c r="G33" i="25"/>
  <c r="G33" i="30" s="1"/>
  <c r="E29" i="7"/>
  <c r="G28" i="30"/>
  <c r="E28" i="7"/>
  <c r="G27" i="30"/>
  <c r="G35" i="25"/>
  <c r="G35" i="30" s="1"/>
  <c r="E12" i="7"/>
  <c r="G11" i="30"/>
  <c r="G17" i="30"/>
  <c r="E18" i="7"/>
  <c r="H26" i="7"/>
  <c r="I26" i="7"/>
  <c r="E36" i="25"/>
  <c r="E36" i="30" s="1"/>
  <c r="H22" i="7"/>
  <c r="I22" i="7"/>
  <c r="G13" i="30"/>
  <c r="E14" i="7"/>
  <c r="E21" i="7"/>
  <c r="G20" i="30"/>
  <c r="E15" i="7"/>
  <c r="G14" i="30"/>
  <c r="E24" i="7"/>
  <c r="G23" i="30"/>
  <c r="I8" i="7"/>
  <c r="H8" i="7"/>
  <c r="H7" i="7"/>
  <c r="F30" i="7"/>
  <c r="J10" i="7" s="1"/>
  <c r="I7" i="7"/>
  <c r="F34" i="7"/>
  <c r="H9" i="7"/>
  <c r="I9" i="7"/>
  <c r="G31" i="30"/>
  <c r="I6" i="7" l="1"/>
  <c r="H6" i="7"/>
  <c r="H19" i="7"/>
  <c r="I19" i="7"/>
  <c r="I21" i="7"/>
  <c r="H21" i="7"/>
  <c r="H18" i="7"/>
  <c r="I18" i="7"/>
  <c r="I11" i="7"/>
  <c r="H11" i="7"/>
  <c r="E34" i="7"/>
  <c r="I34" i="7" s="1"/>
  <c r="H14" i="7"/>
  <c r="I14" i="7"/>
  <c r="H23" i="7"/>
  <c r="I23" i="7"/>
  <c r="E37" i="7"/>
  <c r="H25" i="7"/>
  <c r="I25" i="7"/>
  <c r="H29" i="7"/>
  <c r="I29" i="7"/>
  <c r="H15" i="7"/>
  <c r="I15" i="7"/>
  <c r="I28" i="7"/>
  <c r="H28" i="7"/>
  <c r="E38" i="7"/>
  <c r="H27" i="7"/>
  <c r="I27" i="7"/>
  <c r="I24" i="7"/>
  <c r="H24" i="7"/>
  <c r="E30" i="7"/>
  <c r="I30" i="7" s="1"/>
  <c r="G36" i="25"/>
  <c r="G36" i="30" s="1"/>
  <c r="H12" i="7"/>
  <c r="I12" i="7"/>
  <c r="I17" i="7"/>
  <c r="H17" i="7"/>
  <c r="E36" i="7"/>
  <c r="H20" i="7"/>
  <c r="I20" i="7"/>
  <c r="E35" i="7"/>
  <c r="J34" i="7"/>
  <c r="F39" i="7"/>
  <c r="J39" i="7" s="1"/>
  <c r="J37" i="7"/>
  <c r="J28" i="7"/>
  <c r="J16" i="7"/>
  <c r="J8" i="7"/>
  <c r="J15" i="7"/>
  <c r="J36" i="7"/>
  <c r="J25" i="7"/>
  <c r="J13" i="7"/>
  <c r="J22" i="7"/>
  <c r="J20" i="7"/>
  <c r="J12" i="7"/>
  <c r="J21" i="7"/>
  <c r="J38" i="7"/>
  <c r="J24" i="7"/>
  <c r="J11" i="7"/>
  <c r="J9" i="7"/>
  <c r="J18" i="7"/>
  <c r="J35" i="7"/>
  <c r="J6" i="7"/>
  <c r="J23" i="7"/>
  <c r="J19" i="7"/>
  <c r="J17" i="7"/>
  <c r="J30" i="7"/>
  <c r="J27" i="7"/>
  <c r="J26" i="7"/>
  <c r="J29" i="7"/>
  <c r="J14" i="7"/>
  <c r="J7" i="7"/>
  <c r="H30" i="7" l="1"/>
  <c r="E39" i="7"/>
  <c r="I39" i="7" s="1"/>
  <c r="H34" i="7"/>
  <c r="I37" i="7"/>
  <c r="H37" i="7"/>
  <c r="H35" i="7"/>
  <c r="I35" i="7"/>
  <c r="I36" i="7"/>
  <c r="H36" i="7"/>
  <c r="H38" i="7"/>
  <c r="I38" i="7"/>
  <c r="H39" i="7" l="1"/>
</calcChain>
</file>

<file path=xl/sharedStrings.xml><?xml version="1.0" encoding="utf-8"?>
<sst xmlns="http://schemas.openxmlformats.org/spreadsheetml/2006/main" count="334" uniqueCount="115">
  <si>
    <t>Sygehus</t>
  </si>
  <si>
    <t>Rigshospitalet</t>
  </si>
  <si>
    <t>Nordsjællands Hospital</t>
  </si>
  <si>
    <t>Bornholms Hospital</t>
  </si>
  <si>
    <t>Odense Universitetshospital</t>
  </si>
  <si>
    <t>Sydvestjysk Sygehus</t>
  </si>
  <si>
    <t>Nr.</t>
  </si>
  <si>
    <t>Skema 1</t>
  </si>
  <si>
    <t>Skema 2</t>
  </si>
  <si>
    <t>Skema 3</t>
  </si>
  <si>
    <t>Skema 4</t>
  </si>
  <si>
    <t>Skema 5</t>
  </si>
  <si>
    <t>Skema 6</t>
  </si>
  <si>
    <t>Skema 7</t>
  </si>
  <si>
    <t>Hele landet</t>
  </si>
  <si>
    <t>Totale driftsudgifter, ekskl. udgifter der ikke bidrager til somatisk patient behandling</t>
  </si>
  <si>
    <t>Internt finansieret forskning 
(-)</t>
  </si>
  <si>
    <t>Korrigeret produktionsværdi, mio. kr.</t>
  </si>
  <si>
    <t>Udgifter</t>
  </si>
  <si>
    <t>Produktivitet</t>
  </si>
  <si>
    <t>Produk-tivitets-niveau</t>
  </si>
  <si>
    <t>Medicin på ambulante afdelinger
(-)</t>
  </si>
  <si>
    <t>De korrigerede tilrettede driftsudgifter
(=)</t>
  </si>
  <si>
    <t>De tilrettede driftsudgifter 
(=)</t>
  </si>
  <si>
    <t xml:space="preserve">Korrektion for forskelle i organisering
(-) </t>
  </si>
  <si>
    <t>Produk-tionsværdi</t>
  </si>
  <si>
    <t>Hovedstaden</t>
  </si>
  <si>
    <t>Sjælland</t>
  </si>
  <si>
    <t>Syddanmark</t>
  </si>
  <si>
    <t>Midtjylland</t>
  </si>
  <si>
    <t>Nordjylland</t>
  </si>
  <si>
    <t>Korrigeret produktions-værdi
(=)</t>
  </si>
  <si>
    <t>Sygehus Sønderjylland</t>
  </si>
  <si>
    <t>Ukorrigeret produktions-værdi  i alt
(=)</t>
  </si>
  <si>
    <t>Tabel 1.</t>
  </si>
  <si>
    <t>Tabel 2.</t>
  </si>
  <si>
    <t>Tabel 4.</t>
  </si>
  <si>
    <t>Tabel 5.</t>
  </si>
  <si>
    <t>Tabel 7.</t>
  </si>
  <si>
    <t>Tabel 10.</t>
  </si>
  <si>
    <t>De korrigerede tilrettede driftsudgifter, mio. kr.</t>
  </si>
  <si>
    <t xml:space="preserve">Regionsspeci-fikke korrektioner
(-) </t>
  </si>
  <si>
    <t>Tabel 3.</t>
  </si>
  <si>
    <t>Tabel 6.</t>
  </si>
  <si>
    <t>Tabel 8.</t>
  </si>
  <si>
    <t>Tabel 9.</t>
  </si>
  <si>
    <t xml:space="preserve"> </t>
  </si>
  <si>
    <t>Tabel 0</t>
  </si>
  <si>
    <t>Hospitalsenheden Vest</t>
  </si>
  <si>
    <t>Regionshospitalet Randers</t>
  </si>
  <si>
    <t>Region Nordjylland</t>
  </si>
  <si>
    <t>I alt</t>
  </si>
  <si>
    <t>Region Midtjylland</t>
  </si>
  <si>
    <t>Region Syddanmark</t>
  </si>
  <si>
    <t>Region Hovedstaden</t>
  </si>
  <si>
    <t>Region Sjælland</t>
  </si>
  <si>
    <t>Korrektion</t>
  </si>
  <si>
    <t>Hospitalsenhed Midt</t>
  </si>
  <si>
    <t>Holbæk Sygehus</t>
  </si>
  <si>
    <t>De Vestdanske Friklinikker, Give</t>
  </si>
  <si>
    <t>Fredericia og Kolding sygehuse</t>
  </si>
  <si>
    <t>Aalborg Universitetshospital</t>
  </si>
  <si>
    <t>Roskilde og Køge sygehuse</t>
  </si>
  <si>
    <t>Næstved, Slagelse og Ringsted sygehuse</t>
  </si>
  <si>
    <t>Nykøbing Sygehus</t>
  </si>
  <si>
    <t>Hospitalenheden Horsens</t>
  </si>
  <si>
    <t>Vejle-Give-Middelfart sygehuse</t>
  </si>
  <si>
    <t>Bispebjerg og Frederiksberg Hospital</t>
  </si>
  <si>
    <t>Amager og Hvidovre Hospital</t>
  </si>
  <si>
    <t>Aarhus Universitetshospital</t>
  </si>
  <si>
    <t>Herlev og Gentofte Hospital</t>
  </si>
  <si>
    <t>Sygehusnr.</t>
  </si>
  <si>
    <t>Region</t>
  </si>
  <si>
    <t>Rigshospitalet og Glostrup</t>
  </si>
  <si>
    <t>Amager og Hvidovre</t>
  </si>
  <si>
    <t>Holbæk sygehus</t>
  </si>
  <si>
    <t>Nykøbing Sygehuse</t>
  </si>
  <si>
    <t>Odense Universistetshospital</t>
  </si>
  <si>
    <t>Sydvestjysk sygehus</t>
  </si>
  <si>
    <t>Hospitalsenheden Horsens</t>
  </si>
  <si>
    <t>Regionshospitalet Nordjylland</t>
  </si>
  <si>
    <t>Sjællands Universitetshospital</t>
  </si>
  <si>
    <t xml:space="preserve">Sygehusenes nettodriftsudgifter for 2017, 1.000 kr. 2017 priser </t>
  </si>
  <si>
    <t>Sygehus Vendsyssel</t>
  </si>
  <si>
    <t xml:space="preserve">Sygehusenes nettodriftsudgifter for 2017, 1.000 kr. 2018-priser </t>
  </si>
  <si>
    <t>P/L-faktor (17--&gt;18):</t>
  </si>
  <si>
    <t xml:space="preserve">Sygehusenes nettodriftsudgifter for 2018, 1.000 kr. 2018 priser </t>
  </si>
  <si>
    <t>Sygehusenes nettodriftsudgifter, procentvis ændring fra 2017-2018</t>
  </si>
  <si>
    <t xml:space="preserve">Korrigerede tilrettede driftudgifter for 2017, 1.000 kr. 2018 priser </t>
  </si>
  <si>
    <t xml:space="preserve">Korrigerede tilrettede driftudgifter for 2018, 1.000 kr. 2018 priser </t>
  </si>
  <si>
    <t>Korrigerede tilrettede driftudgifter, procentvis ændring fra 2017-2018</t>
  </si>
  <si>
    <t>Korrigeret produktionsværdi, 2018-aktivitet med LPR pr. 10. marts 2019, 1.000 kr., 2018-takstsystem</t>
  </si>
  <si>
    <t>Korrigeret produktionsværdi, procentvis ændring fra 2017-2018</t>
  </si>
  <si>
    <t>Produktionsværdi, udgifter og produktivitet for regioner og sygehuse, 2017-2018</t>
  </si>
  <si>
    <t>Udvikling, 2017-2018, pct.</t>
  </si>
  <si>
    <t>Akut ambulante kontakter</t>
  </si>
  <si>
    <t>26. Telefonkonsultationer</t>
  </si>
  <si>
    <t>34. Ambulant til tele</t>
  </si>
  <si>
    <t>36. Ambulant til tele</t>
  </si>
  <si>
    <t>6. Hjertesygdomme</t>
  </si>
  <si>
    <t>8. Ernæringsområdet</t>
  </si>
  <si>
    <t xml:space="preserve">11. Sengelukning </t>
  </si>
  <si>
    <t>16. Sengelukning</t>
  </si>
  <si>
    <t>7. Reduktion i antal ambulante besøg</t>
  </si>
  <si>
    <t>8. sengelukning</t>
  </si>
  <si>
    <t>9. Bortfald af takstudløsende aktivitet</t>
  </si>
  <si>
    <t>12. Omlægning af behandlingsforløb</t>
  </si>
  <si>
    <t>Korrigeret produktionsværdi, 2017-aktivitet med LPR pr. 10. april 2018, 1.000 kr., 2018-takstsystem</t>
  </si>
  <si>
    <t>Friklinikken, Region Syddanmark</t>
  </si>
  <si>
    <t>Regionshospitalet Horsens</t>
  </si>
  <si>
    <t>Korrektion (-akut)</t>
  </si>
  <si>
    <t>Korrektion (kun akut)</t>
  </si>
  <si>
    <t>Samlet korrektion</t>
  </si>
  <si>
    <t>Steno Diabetes Center Copenhagen</t>
  </si>
  <si>
    <t>Offentliggjort 9. marts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</si>
</sst>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00"/>
    <numFmt numFmtId="168" formatCode="#,##0.0"/>
    <numFmt numFmtId="169" formatCode="_ * #,##0.0_ ;_ * \-#,##0.0_ ;_ * &quot;-&quot;??_ ;_ @_ "/>
  </numFmts>
  <fonts count="41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9" applyNumberFormat="0" applyAlignment="0" applyProtection="0"/>
    <xf numFmtId="0" fontId="30" fillId="7" borderId="20" applyNumberFormat="0" applyAlignment="0" applyProtection="0"/>
    <xf numFmtId="0" fontId="31" fillId="7" borderId="19" applyNumberFormat="0" applyAlignment="0" applyProtection="0"/>
    <xf numFmtId="0" fontId="32" fillId="0" borderId="21" applyNumberFormat="0" applyFill="0" applyAlignment="0" applyProtection="0"/>
    <xf numFmtId="0" fontId="33" fillId="8" borderId="2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4" applyNumberFormat="0" applyFill="0" applyAlignment="0" applyProtection="0"/>
    <xf numFmtId="0" fontId="3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7" fillId="33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215">
    <xf numFmtId="0" fontId="0" fillId="0" borderId="0" xfId="0"/>
    <xf numFmtId="0" fontId="3" fillId="0" borderId="0" xfId="25" applyFont="1" applyFill="1" applyAlignment="1">
      <alignment horizontal="center"/>
    </xf>
    <xf numFmtId="0" fontId="3" fillId="0" borderId="0" xfId="25" applyFont="1" applyFill="1" applyAlignment="1">
      <alignment horizontal="right"/>
    </xf>
    <xf numFmtId="3" fontId="5" fillId="2" borderId="0" xfId="25" applyNumberFormat="1" applyFont="1" applyFill="1" applyBorder="1" applyAlignment="1">
      <alignment horizontal="right" vertical="center"/>
    </xf>
    <xf numFmtId="0" fontId="5" fillId="2" borderId="3" xfId="20" applyFont="1" applyFill="1" applyBorder="1" applyAlignment="1">
      <alignment horizontal="left" vertical="center" wrapText="1"/>
    </xf>
    <xf numFmtId="3" fontId="5" fillId="2" borderId="9" xfId="20" applyNumberFormat="1" applyFont="1" applyFill="1" applyBorder="1" applyAlignment="1"/>
    <xf numFmtId="3" fontId="5" fillId="2" borderId="3" xfId="20" applyNumberFormat="1" applyFont="1" applyFill="1" applyBorder="1" applyAlignment="1"/>
    <xf numFmtId="0" fontId="5" fillId="2" borderId="2" xfId="20" applyFont="1" applyFill="1" applyBorder="1" applyAlignment="1">
      <alignment horizontal="left" vertical="center" wrapText="1"/>
    </xf>
    <xf numFmtId="3" fontId="5" fillId="2" borderId="2" xfId="20" applyNumberFormat="1" applyFont="1" applyFill="1" applyBorder="1" applyAlignment="1"/>
    <xf numFmtId="3" fontId="5" fillId="2" borderId="2" xfId="25" applyNumberFormat="1" applyFont="1" applyFill="1" applyBorder="1" applyAlignment="1">
      <alignment vertical="center"/>
    </xf>
    <xf numFmtId="3" fontId="5" fillId="2" borderId="6" xfId="20" applyNumberFormat="1" applyFont="1" applyFill="1" applyBorder="1" applyAlignment="1"/>
    <xf numFmtId="0" fontId="7" fillId="2" borderId="1" xfId="25" applyFont="1" applyFill="1" applyBorder="1" applyAlignment="1">
      <alignment horizontal="left" wrapText="1"/>
    </xf>
    <xf numFmtId="0" fontId="7" fillId="2" borderId="1" xfId="25" applyFont="1" applyFill="1" applyBorder="1" applyAlignment="1">
      <alignment horizontal="right" wrapText="1"/>
    </xf>
    <xf numFmtId="0" fontId="5" fillId="2" borderId="1" xfId="25" applyFont="1" applyFill="1" applyBorder="1" applyAlignment="1">
      <alignment horizontal="left"/>
    </xf>
    <xf numFmtId="3" fontId="5" fillId="2" borderId="1" xfId="25" applyNumberFormat="1" applyFont="1" applyFill="1" applyBorder="1" applyAlignment="1">
      <alignment vertical="center"/>
    </xf>
    <xf numFmtId="0" fontId="5" fillId="2" borderId="0" xfId="25" applyFont="1" applyFill="1" applyAlignment="1">
      <alignment horizontal="center"/>
    </xf>
    <xf numFmtId="3" fontId="5" fillId="2" borderId="0" xfId="25" applyNumberFormat="1" applyFont="1" applyFill="1" applyBorder="1" applyAlignment="1">
      <alignment vertical="center"/>
    </xf>
    <xf numFmtId="0" fontId="5" fillId="2" borderId="3" xfId="25" applyFont="1" applyFill="1" applyBorder="1" applyAlignment="1">
      <alignment horizontal="left" wrapText="1"/>
    </xf>
    <xf numFmtId="3" fontId="5" fillId="2" borderId="8" xfId="20" applyNumberFormat="1" applyFont="1" applyFill="1" applyBorder="1" applyAlignment="1"/>
    <xf numFmtId="0" fontId="5" fillId="2" borderId="2" xfId="25" applyFont="1" applyFill="1" applyBorder="1" applyAlignment="1">
      <alignment horizontal="left" wrapText="1"/>
    </xf>
    <xf numFmtId="0" fontId="5" fillId="2" borderId="4" xfId="25" applyFont="1" applyFill="1" applyBorder="1" applyAlignment="1">
      <alignment horizontal="left" wrapText="1"/>
    </xf>
    <xf numFmtId="3" fontId="5" fillId="2" borderId="4" xfId="20" applyNumberFormat="1" applyFont="1" applyFill="1" applyBorder="1" applyAlignment="1"/>
    <xf numFmtId="3" fontId="5" fillId="2" borderId="10" xfId="20" applyNumberFormat="1" applyFont="1" applyFill="1" applyBorder="1" applyAlignment="1"/>
    <xf numFmtId="3" fontId="5" fillId="2" borderId="1" xfId="20" applyNumberFormat="1" applyFont="1" applyFill="1" applyBorder="1" applyAlignment="1"/>
    <xf numFmtId="0" fontId="3" fillId="2" borderId="0" xfId="25" applyFont="1" applyFill="1" applyAlignment="1">
      <alignment horizontal="center"/>
    </xf>
    <xf numFmtId="3" fontId="5" fillId="2" borderId="11" xfId="14" applyNumberFormat="1" applyFont="1" applyFill="1" applyBorder="1"/>
    <xf numFmtId="0" fontId="3" fillId="2" borderId="0" xfId="25" applyFont="1" applyFill="1" applyAlignment="1">
      <alignment horizontal="right"/>
    </xf>
    <xf numFmtId="0" fontId="6" fillId="2" borderId="0" xfId="25" applyFont="1" applyFill="1" applyBorder="1" applyAlignment="1">
      <alignment horizontal="right" vertical="center" wrapText="1"/>
    </xf>
    <xf numFmtId="0" fontId="3" fillId="2" borderId="0" xfId="25" applyFont="1" applyFill="1" applyBorder="1" applyAlignment="1">
      <alignment horizontal="right"/>
    </xf>
    <xf numFmtId="3" fontId="5" fillId="2" borderId="2" xfId="25" applyNumberFormat="1" applyFont="1" applyFill="1" applyBorder="1" applyAlignment="1">
      <alignment vertical="center" wrapText="1"/>
    </xf>
    <xf numFmtId="0" fontId="5" fillId="2" borderId="4" xfId="25" applyFont="1" applyFill="1" applyBorder="1" applyAlignment="1">
      <alignment horizontal="left"/>
    </xf>
    <xf numFmtId="0" fontId="6" fillId="2" borderId="0" xfId="14" applyFont="1" applyFill="1" applyBorder="1" applyAlignment="1">
      <alignment horizontal="left"/>
    </xf>
    <xf numFmtId="0" fontId="11" fillId="2" borderId="0" xfId="14" applyFont="1" applyFill="1" applyBorder="1" applyAlignment="1">
      <alignment horizontal="right"/>
    </xf>
    <xf numFmtId="0" fontId="6" fillId="2" borderId="0" xfId="20" applyFont="1" applyFill="1" applyBorder="1" applyAlignment="1">
      <alignment horizontal="left"/>
    </xf>
    <xf numFmtId="0" fontId="3" fillId="2" borderId="0" xfId="25" quotePrefix="1" applyFont="1" applyFill="1" applyAlignment="1">
      <alignment horizontal="left"/>
    </xf>
    <xf numFmtId="3" fontId="3" fillId="2" borderId="0" xfId="25" applyNumberFormat="1" applyFont="1" applyFill="1" applyAlignment="1">
      <alignment horizontal="center"/>
    </xf>
    <xf numFmtId="3" fontId="3" fillId="2" borderId="0" xfId="25" applyNumberFormat="1" applyFont="1" applyFill="1" applyAlignment="1">
      <alignment horizontal="right"/>
    </xf>
    <xf numFmtId="0" fontId="5" fillId="2" borderId="0" xfId="25" applyFont="1" applyFill="1" applyAlignment="1">
      <alignment horizontal="left"/>
    </xf>
    <xf numFmtId="0" fontId="3" fillId="2" borderId="0" xfId="25" applyFont="1" applyFill="1" applyAlignment="1">
      <alignment horizontal="left"/>
    </xf>
    <xf numFmtId="0" fontId="3" fillId="2" borderId="0" xfId="25" applyFont="1" applyFill="1" applyBorder="1" applyAlignment="1">
      <alignment horizontal="center"/>
    </xf>
    <xf numFmtId="0" fontId="7" fillId="2" borderId="0" xfId="25" applyFont="1" applyFill="1" applyBorder="1" applyAlignment="1">
      <alignment horizontal="center" wrapText="1"/>
    </xf>
    <xf numFmtId="0" fontId="5" fillId="2" borderId="0" xfId="25" applyFont="1" applyFill="1" applyBorder="1" applyAlignment="1">
      <alignment horizontal="center"/>
    </xf>
    <xf numFmtId="0" fontId="5" fillId="2" borderId="0" xfId="25" applyFont="1" applyFill="1" applyBorder="1" applyAlignment="1">
      <alignment horizontal="right"/>
    </xf>
    <xf numFmtId="166" fontId="5" fillId="2" borderId="0" xfId="2" applyNumberFormat="1" applyFont="1" applyFill="1" applyBorder="1" applyAlignment="1">
      <alignment horizontal="right"/>
    </xf>
    <xf numFmtId="0" fontId="11" fillId="2" borderId="0" xfId="14" applyFont="1" applyFill="1" applyBorder="1" applyAlignment="1">
      <alignment horizontal="right" vertical="center" wrapText="1"/>
    </xf>
    <xf numFmtId="3" fontId="5" fillId="2" borderId="0" xfId="25" applyNumberFormat="1" applyFont="1" applyFill="1" applyBorder="1" applyAlignment="1">
      <alignment horizontal="right"/>
    </xf>
    <xf numFmtId="0" fontId="10" fillId="2" borderId="0" xfId="14" applyFont="1" applyFill="1" applyBorder="1" applyAlignment="1">
      <alignment horizontal="left" vertical="center" wrapText="1"/>
    </xf>
    <xf numFmtId="3" fontId="5" fillId="2" borderId="0" xfId="20" applyNumberFormat="1" applyFont="1" applyFill="1" applyBorder="1" applyAlignment="1"/>
    <xf numFmtId="0" fontId="13" fillId="2" borderId="0" xfId="14" applyFont="1" applyFill="1" applyBorder="1" applyAlignment="1">
      <alignment horizontal="right" vertical="center" wrapText="1"/>
    </xf>
    <xf numFmtId="0" fontId="10" fillId="2" borderId="0" xfId="14" applyFont="1" applyFill="1" applyBorder="1" applyAlignment="1">
      <alignment horizontal="right" vertical="center" wrapText="1"/>
    </xf>
    <xf numFmtId="0" fontId="9" fillId="2" borderId="0" xfId="25" applyFont="1" applyFill="1" applyAlignment="1">
      <alignment horizontal="left"/>
    </xf>
    <xf numFmtId="0" fontId="4" fillId="2" borderId="0" xfId="20" applyFill="1"/>
    <xf numFmtId="0" fontId="0" fillId="2" borderId="0" xfId="0" applyFill="1"/>
    <xf numFmtId="0" fontId="11" fillId="2" borderId="0" xfId="20" applyFont="1" applyFill="1" applyBorder="1" applyAlignment="1">
      <alignment horizontal="right"/>
    </xf>
    <xf numFmtId="0" fontId="7" fillId="2" borderId="0" xfId="25" applyFont="1" applyFill="1" applyBorder="1" applyAlignment="1">
      <alignment horizontal="right" wrapText="1"/>
    </xf>
    <xf numFmtId="3" fontId="5" fillId="2" borderId="0" xfId="29" applyNumberFormat="1" applyFont="1" applyFill="1" applyBorder="1" applyAlignment="1">
      <alignment vertical="center" wrapText="1"/>
    </xf>
    <xf numFmtId="166" fontId="5" fillId="2" borderId="0" xfId="1" applyNumberFormat="1" applyFont="1" applyFill="1" applyBorder="1" applyAlignment="1">
      <alignment horizontal="center"/>
    </xf>
    <xf numFmtId="0" fontId="13" fillId="2" borderId="0" xfId="14" applyFont="1" applyFill="1" applyBorder="1" applyAlignment="1">
      <alignment horizontal="left" vertical="center" wrapText="1"/>
    </xf>
    <xf numFmtId="0" fontId="5" fillId="2" borderId="0" xfId="26" applyFont="1" applyFill="1" applyBorder="1" applyAlignment="1">
      <alignment horizontal="right" wrapText="1"/>
    </xf>
    <xf numFmtId="3" fontId="5" fillId="2" borderId="0" xfId="26" applyNumberFormat="1" applyFont="1" applyFill="1" applyBorder="1" applyAlignment="1">
      <alignment horizontal="right" wrapText="1"/>
    </xf>
    <xf numFmtId="166" fontId="5" fillId="2" borderId="0" xfId="25" applyNumberFormat="1" applyFont="1" applyFill="1" applyBorder="1" applyAlignment="1">
      <alignment horizontal="center"/>
    </xf>
    <xf numFmtId="3" fontId="3" fillId="2" borderId="0" xfId="25" applyNumberFormat="1" applyFont="1" applyFill="1" applyBorder="1" applyAlignment="1">
      <alignment horizontal="center"/>
    </xf>
    <xf numFmtId="0" fontId="5" fillId="2" borderId="0" xfId="25" applyFont="1" applyFill="1" applyBorder="1" applyAlignment="1">
      <alignment horizontal="left" wrapText="1"/>
    </xf>
    <xf numFmtId="166" fontId="5" fillId="2" borderId="0" xfId="2" applyNumberFormat="1" applyFont="1" applyFill="1" applyBorder="1" applyAlignment="1">
      <alignment horizontal="center"/>
    </xf>
    <xf numFmtId="3" fontId="5" fillId="2" borderId="11" xfId="20" applyNumberFormat="1" applyFont="1" applyFill="1" applyBorder="1"/>
    <xf numFmtId="0" fontId="4" fillId="2" borderId="0" xfId="20" applyFill="1" applyAlignment="1">
      <alignment horizontal="left"/>
    </xf>
    <xf numFmtId="0" fontId="4" fillId="2" borderId="0" xfId="20" applyFill="1" applyBorder="1" applyAlignment="1">
      <alignment horizontal="left"/>
    </xf>
    <xf numFmtId="0" fontId="4" fillId="2" borderId="0" xfId="20" applyFill="1" applyBorder="1"/>
    <xf numFmtId="0" fontId="5" fillId="2" borderId="0" xfId="20" applyFont="1" applyFill="1" applyBorder="1" applyAlignment="1">
      <alignment horizontal="left" vertical="center" wrapText="1"/>
    </xf>
    <xf numFmtId="167" fontId="5" fillId="2" borderId="0" xfId="25" applyNumberFormat="1" applyFont="1" applyFill="1" applyBorder="1" applyAlignment="1">
      <alignment horizontal="right" vertical="center"/>
    </xf>
    <xf numFmtId="3" fontId="4" fillId="2" borderId="0" xfId="20" applyNumberFormat="1" applyFill="1"/>
    <xf numFmtId="0" fontId="7" fillId="2" borderId="3" xfId="25" applyFont="1" applyFill="1" applyBorder="1" applyAlignment="1">
      <alignment horizontal="right" wrapText="1"/>
    </xf>
    <xf numFmtId="0" fontId="9" fillId="2" borderId="0" xfId="25" applyFont="1" applyFill="1" applyAlignment="1"/>
    <xf numFmtId="0" fontId="7" fillId="2" borderId="3" xfId="25" applyFont="1" applyFill="1" applyBorder="1" applyAlignment="1">
      <alignment horizontal="left" wrapText="1"/>
    </xf>
    <xf numFmtId="0" fontId="5" fillId="2" borderId="8" xfId="20" applyFont="1" applyFill="1" applyBorder="1" applyAlignment="1">
      <alignment horizontal="left" vertical="center" wrapText="1"/>
    </xf>
    <xf numFmtId="0" fontId="5" fillId="2" borderId="9" xfId="20" applyFont="1" applyFill="1" applyBorder="1" applyAlignment="1">
      <alignment horizontal="left" vertical="center" wrapText="1"/>
    </xf>
    <xf numFmtId="3" fontId="5" fillId="2" borderId="12" xfId="25" applyNumberFormat="1" applyFont="1" applyFill="1" applyBorder="1" applyAlignment="1">
      <alignment vertical="center" wrapText="1"/>
    </xf>
    <xf numFmtId="0" fontId="3" fillId="2" borderId="0" xfId="25" applyFont="1" applyFill="1" applyBorder="1" applyAlignment="1">
      <alignment horizontal="left"/>
    </xf>
    <xf numFmtId="0" fontId="16" fillId="2" borderId="0" xfId="25" applyFont="1" applyFill="1" applyAlignment="1">
      <alignment horizontal="left"/>
    </xf>
    <xf numFmtId="165" fontId="3" fillId="2" borderId="0" xfId="25" applyNumberFormat="1" applyFont="1" applyFill="1" applyBorder="1" applyAlignment="1">
      <alignment horizontal="center"/>
    </xf>
    <xf numFmtId="165" fontId="3" fillId="2" borderId="0" xfId="25" applyNumberFormat="1" applyFont="1" applyFill="1" applyAlignment="1">
      <alignment horizontal="center"/>
    </xf>
    <xf numFmtId="3" fontId="5" fillId="2" borderId="2" xfId="25" applyNumberFormat="1" applyFont="1" applyFill="1" applyBorder="1" applyAlignment="1">
      <alignment horizontal="right" vertical="center" wrapText="1"/>
    </xf>
    <xf numFmtId="3" fontId="5" fillId="2" borderId="2" xfId="25" applyNumberFormat="1" applyFont="1" applyFill="1" applyBorder="1" applyAlignment="1">
      <alignment horizontal="right" vertical="center"/>
    </xf>
    <xf numFmtId="3" fontId="5" fillId="2" borderId="1" xfId="25" applyNumberFormat="1" applyFont="1" applyFill="1" applyBorder="1" applyAlignment="1">
      <alignment horizontal="right" vertical="center"/>
    </xf>
    <xf numFmtId="3" fontId="5" fillId="2" borderId="3" xfId="25" applyNumberFormat="1" applyFont="1" applyFill="1" applyBorder="1" applyAlignment="1">
      <alignment horizontal="right" vertical="center" wrapText="1"/>
    </xf>
    <xf numFmtId="3" fontId="5" fillId="2" borderId="9" xfId="20" applyNumberFormat="1" applyFont="1" applyFill="1" applyBorder="1" applyAlignment="1">
      <alignment horizontal="right"/>
    </xf>
    <xf numFmtId="3" fontId="5" fillId="2" borderId="6" xfId="20" applyNumberFormat="1" applyFont="1" applyFill="1" applyBorder="1" applyAlignment="1">
      <alignment horizontal="right"/>
    </xf>
    <xf numFmtId="3" fontId="5" fillId="2" borderId="10" xfId="20" applyNumberFormat="1" applyFont="1" applyFill="1" applyBorder="1" applyAlignment="1">
      <alignment horizontal="right"/>
    </xf>
    <xf numFmtId="3" fontId="5" fillId="2" borderId="12" xfId="25" applyNumberFormat="1" applyFont="1" applyFill="1" applyBorder="1" applyAlignment="1">
      <alignment horizontal="right" vertical="center" wrapText="1"/>
    </xf>
    <xf numFmtId="0" fontId="6" fillId="2" borderId="0" xfId="0" applyFont="1" applyFill="1" applyAlignment="1"/>
    <xf numFmtId="0" fontId="6" fillId="2" borderId="0" xfId="0" applyFont="1" applyFill="1" applyBorder="1" applyAlignment="1">
      <alignment horizontal="left"/>
    </xf>
    <xf numFmtId="3" fontId="8" fillId="2" borderId="2" xfId="25" applyNumberFormat="1" applyFont="1" applyFill="1" applyBorder="1" applyAlignment="1">
      <alignment horizontal="right"/>
    </xf>
    <xf numFmtId="3" fontId="5" fillId="2" borderId="0" xfId="25" quotePrefix="1" applyNumberFormat="1" applyFont="1" applyFill="1" applyBorder="1" applyAlignment="1">
      <alignment horizontal="right" vertical="center"/>
    </xf>
    <xf numFmtId="3" fontId="8" fillId="2" borderId="1" xfId="25" applyNumberFormat="1" applyFont="1" applyFill="1" applyBorder="1" applyAlignment="1">
      <alignment horizontal="right"/>
    </xf>
    <xf numFmtId="3" fontId="8" fillId="2" borderId="10" xfId="0" applyNumberFormat="1" applyFont="1" applyFill="1" applyBorder="1"/>
    <xf numFmtId="3" fontId="8" fillId="2" borderId="1" xfId="0" applyNumberFormat="1" applyFont="1" applyFill="1" applyBorder="1"/>
    <xf numFmtId="3" fontId="5" fillId="2" borderId="12" xfId="25" applyNumberFormat="1" applyFont="1" applyFill="1" applyBorder="1" applyAlignment="1">
      <alignment horizontal="right" vertical="center"/>
    </xf>
    <xf numFmtId="3" fontId="8" fillId="2" borderId="2" xfId="25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/>
    <xf numFmtId="3" fontId="8" fillId="2" borderId="3" xfId="0" applyNumberFormat="1" applyFont="1" applyFill="1" applyBorder="1"/>
    <xf numFmtId="3" fontId="8" fillId="2" borderId="9" xfId="0" applyNumberFormat="1" applyFont="1" applyFill="1" applyBorder="1"/>
    <xf numFmtId="3" fontId="8" fillId="2" borderId="2" xfId="0" applyNumberFormat="1" applyFont="1" applyFill="1" applyBorder="1"/>
    <xf numFmtId="3" fontId="8" fillId="2" borderId="6" xfId="0" applyNumberFormat="1" applyFont="1" applyFill="1" applyBorder="1"/>
    <xf numFmtId="3" fontId="8" fillId="2" borderId="4" xfId="0" applyNumberFormat="1" applyFont="1" applyFill="1" applyBorder="1"/>
    <xf numFmtId="0" fontId="3" fillId="2" borderId="0" xfId="0" applyFont="1" applyFill="1"/>
    <xf numFmtId="0" fontId="6" fillId="2" borderId="0" xfId="28" applyFont="1" applyFill="1"/>
    <xf numFmtId="3" fontId="3" fillId="2" borderId="0" xfId="0" applyNumberFormat="1" applyFont="1" applyFill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0" fillId="2" borderId="0" xfId="0" quotePrefix="1" applyNumberFormat="1" applyFill="1"/>
    <xf numFmtId="0" fontId="6" fillId="2" borderId="0" xfId="27" applyFont="1" applyFill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7" fillId="2" borderId="1" xfId="0" applyFont="1" applyFill="1" applyBorder="1" applyAlignment="1">
      <alignment horizontal="right" wrapText="1"/>
    </xf>
    <xf numFmtId="0" fontId="7" fillId="2" borderId="4" xfId="25" applyFont="1" applyFill="1" applyBorder="1" applyAlignment="1">
      <alignment horizontal="left" wrapText="1"/>
    </xf>
    <xf numFmtId="0" fontId="7" fillId="2" borderId="6" xfId="25" applyFont="1" applyFill="1" applyBorder="1" applyAlignment="1">
      <alignment horizontal="left" wrapText="1"/>
    </xf>
    <xf numFmtId="0" fontId="7" fillId="2" borderId="14" xfId="0" applyFont="1" applyFill="1" applyBorder="1"/>
    <xf numFmtId="0" fontId="7" fillId="2" borderId="10" xfId="0" applyFont="1" applyFill="1" applyBorder="1" applyAlignment="1">
      <alignment horizontal="right" wrapText="1"/>
    </xf>
    <xf numFmtId="0" fontId="7" fillId="2" borderId="13" xfId="0" applyFont="1" applyFill="1" applyBorder="1" applyAlignment="1">
      <alignment horizontal="right" wrapText="1"/>
    </xf>
    <xf numFmtId="0" fontId="7" fillId="2" borderId="5" xfId="0" applyFont="1" applyFill="1" applyBorder="1"/>
    <xf numFmtId="3" fontId="5" fillId="2" borderId="9" xfId="0" applyNumberFormat="1" applyFont="1" applyFill="1" applyBorder="1"/>
    <xf numFmtId="3" fontId="5" fillId="2" borderId="11" xfId="0" applyNumberFormat="1" applyFont="1" applyFill="1" applyBorder="1"/>
    <xf numFmtId="165" fontId="5" fillId="2" borderId="8" xfId="0" applyNumberFormat="1" applyFont="1" applyFill="1" applyBorder="1"/>
    <xf numFmtId="165" fontId="5" fillId="2" borderId="11" xfId="0" applyNumberFormat="1" applyFont="1" applyFill="1" applyBorder="1"/>
    <xf numFmtId="165" fontId="5" fillId="2" borderId="15" xfId="0" applyNumberFormat="1" applyFont="1" applyFill="1" applyBorder="1"/>
    <xf numFmtId="1" fontId="5" fillId="2" borderId="12" xfId="0" applyNumberFormat="1" applyFont="1" applyFill="1" applyBorder="1"/>
    <xf numFmtId="165" fontId="3" fillId="2" borderId="0" xfId="0" applyNumberFormat="1" applyFont="1" applyFill="1"/>
    <xf numFmtId="3" fontId="5" fillId="2" borderId="0" xfId="0" applyNumberFormat="1" applyFont="1" applyFill="1" applyBorder="1"/>
    <xf numFmtId="165" fontId="5" fillId="2" borderId="9" xfId="0" applyNumberFormat="1" applyFont="1" applyFill="1" applyBorder="1"/>
    <xf numFmtId="165" fontId="5" fillId="2" borderId="0" xfId="0" applyNumberFormat="1" applyFont="1" applyFill="1" applyBorder="1"/>
    <xf numFmtId="165" fontId="5" fillId="2" borderId="12" xfId="0" applyNumberFormat="1" applyFont="1" applyFill="1" applyBorder="1"/>
    <xf numFmtId="3" fontId="5" fillId="2" borderId="10" xfId="0" applyNumberFormat="1" applyFont="1" applyFill="1" applyBorder="1"/>
    <xf numFmtId="3" fontId="5" fillId="2" borderId="14" xfId="0" applyNumberFormat="1" applyFont="1" applyFill="1" applyBorder="1"/>
    <xf numFmtId="3" fontId="5" fillId="2" borderId="13" xfId="0" applyNumberFormat="1" applyFont="1" applyFill="1" applyBorder="1"/>
    <xf numFmtId="165" fontId="5" fillId="2" borderId="10" xfId="0" applyNumberFormat="1" applyFont="1" applyFill="1" applyBorder="1"/>
    <xf numFmtId="165" fontId="5" fillId="2" borderId="13" xfId="0" applyNumberFormat="1" applyFont="1" applyFill="1" applyBorder="1"/>
    <xf numFmtId="165" fontId="5" fillId="2" borderId="14" xfId="0" applyNumberFormat="1" applyFont="1" applyFill="1" applyBorder="1"/>
    <xf numFmtId="1" fontId="5" fillId="2" borderId="5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5" fillId="2" borderId="7" xfId="0" applyNumberFormat="1" applyFont="1" applyFill="1" applyBorder="1"/>
    <xf numFmtId="0" fontId="7" fillId="2" borderId="0" xfId="25" applyFont="1" applyFill="1" applyBorder="1" applyAlignment="1">
      <alignment horizontal="left" wrapText="1"/>
    </xf>
    <xf numFmtId="0" fontId="7" fillId="2" borderId="1" xfId="0" applyFont="1" applyFill="1" applyBorder="1"/>
    <xf numFmtId="0" fontId="7" fillId="2" borderId="10" xfId="0" applyFont="1" applyFill="1" applyBorder="1"/>
    <xf numFmtId="3" fontId="5" fillId="2" borderId="2" xfId="0" applyNumberFormat="1" applyFont="1" applyFill="1" applyBorder="1"/>
    <xf numFmtId="3" fontId="5" fillId="2" borderId="1" xfId="0" applyNumberFormat="1" applyFont="1" applyFill="1" applyBorder="1"/>
    <xf numFmtId="0" fontId="7" fillId="2" borderId="13" xfId="0" applyFont="1" applyFill="1" applyBorder="1"/>
    <xf numFmtId="3" fontId="5" fillId="2" borderId="3" xfId="0" applyNumberFormat="1" applyFont="1" applyFill="1" applyBorder="1"/>
    <xf numFmtId="0" fontId="5" fillId="2" borderId="10" xfId="20" applyFont="1" applyFill="1" applyBorder="1" applyAlignment="1">
      <alignment horizontal="left" vertical="center" wrapText="1"/>
    </xf>
    <xf numFmtId="3" fontId="5" fillId="2" borderId="13" xfId="20" applyNumberFormat="1" applyFont="1" applyFill="1" applyBorder="1" applyAlignment="1"/>
    <xf numFmtId="3" fontId="5" fillId="2" borderId="14" xfId="20" applyNumberFormat="1" applyFont="1" applyFill="1" applyBorder="1" applyAlignment="1"/>
    <xf numFmtId="166" fontId="5" fillId="2" borderId="1" xfId="1" applyNumberFormat="1" applyFont="1" applyFill="1" applyBorder="1" applyAlignment="1">
      <alignment horizontal="right" vertical="center"/>
    </xf>
    <xf numFmtId="3" fontId="5" fillId="2" borderId="15" xfId="25" applyNumberFormat="1" applyFont="1" applyFill="1" applyBorder="1" applyAlignment="1">
      <alignment horizontal="right" vertical="center" wrapText="1"/>
    </xf>
    <xf numFmtId="1" fontId="5" fillId="2" borderId="1" xfId="0" applyNumberFormat="1" applyFont="1" applyFill="1" applyBorder="1"/>
    <xf numFmtId="166" fontId="3" fillId="2" borderId="0" xfId="1" applyNumberFormat="1" applyFont="1" applyFill="1" applyAlignment="1">
      <alignment horizontal="center"/>
    </xf>
    <xf numFmtId="3" fontId="5" fillId="0" borderId="9" xfId="20" applyNumberFormat="1" applyFont="1" applyFill="1" applyBorder="1" applyAlignment="1"/>
    <xf numFmtId="3" fontId="5" fillId="0" borderId="2" xfId="20" applyNumberFormat="1" applyFont="1" applyFill="1" applyBorder="1" applyAlignment="1"/>
    <xf numFmtId="0" fontId="5" fillId="2" borderId="12" xfId="25" applyFont="1" applyFill="1" applyBorder="1" applyAlignment="1">
      <alignment horizontal="left"/>
    </xf>
    <xf numFmtId="0" fontId="3" fillId="2" borderId="12" xfId="25" applyFont="1" applyFill="1" applyBorder="1" applyAlignment="1">
      <alignment horizontal="left"/>
    </xf>
    <xf numFmtId="0" fontId="5" fillId="2" borderId="1" xfId="20" applyFont="1" applyFill="1" applyBorder="1" applyAlignment="1">
      <alignment horizontal="left" vertical="center" wrapText="1"/>
    </xf>
    <xf numFmtId="3" fontId="5" fillId="2" borderId="9" xfId="25" applyNumberFormat="1" applyFont="1" applyFill="1" applyBorder="1" applyAlignment="1">
      <alignment vertical="center"/>
    </xf>
    <xf numFmtId="3" fontId="5" fillId="2" borderId="0" xfId="25" applyNumberFormat="1" applyFont="1" applyFill="1" applyBorder="1" applyAlignment="1">
      <alignment vertical="center" wrapText="1"/>
    </xf>
    <xf numFmtId="0" fontId="17" fillId="2" borderId="5" xfId="0" applyFont="1" applyFill="1" applyBorder="1"/>
    <xf numFmtId="0" fontId="17" fillId="2" borderId="4" xfId="0" applyFont="1" applyFill="1" applyBorder="1"/>
    <xf numFmtId="0" fontId="17" fillId="2" borderId="6" xfId="0" applyFont="1" applyFill="1" applyBorder="1"/>
    <xf numFmtId="0" fontId="18" fillId="2" borderId="12" xfId="0" applyFont="1" applyFill="1" applyBorder="1"/>
    <xf numFmtId="0" fontId="18" fillId="2" borderId="2" xfId="0" applyFont="1" applyFill="1" applyBorder="1"/>
    <xf numFmtId="0" fontId="19" fillId="2" borderId="7" xfId="0" applyFont="1" applyFill="1" applyBorder="1"/>
    <xf numFmtId="0" fontId="19" fillId="2" borderId="4" xfId="0" applyFont="1" applyFill="1" applyBorder="1"/>
    <xf numFmtId="0" fontId="20" fillId="2" borderId="0" xfId="0" applyFont="1" applyFill="1" applyBorder="1"/>
    <xf numFmtId="0" fontId="20" fillId="2" borderId="2" xfId="0" applyFont="1" applyFill="1" applyBorder="1"/>
    <xf numFmtId="0" fontId="20" fillId="2" borderId="7" xfId="0" applyFont="1" applyFill="1" applyBorder="1"/>
    <xf numFmtId="0" fontId="20" fillId="2" borderId="3" xfId="0" applyFont="1" applyFill="1" applyBorder="1"/>
    <xf numFmtId="0" fontId="20" fillId="2" borderId="4" xfId="0" applyFont="1" applyFill="1" applyBorder="1"/>
    <xf numFmtId="0" fontId="21" fillId="2" borderId="0" xfId="0" applyFont="1" applyFill="1" applyBorder="1"/>
    <xf numFmtId="0" fontId="21" fillId="2" borderId="0" xfId="0" applyFont="1" applyFill="1"/>
    <xf numFmtId="1" fontId="21" fillId="2" borderId="0" xfId="25" applyNumberFormat="1" applyFont="1" applyFill="1" applyBorder="1" applyAlignment="1">
      <alignment horizontal="center"/>
    </xf>
    <xf numFmtId="0" fontId="18" fillId="34" borderId="0" xfId="0" applyFont="1" applyFill="1"/>
    <xf numFmtId="166" fontId="18" fillId="34" borderId="0" xfId="0" applyNumberFormat="1" applyFont="1" applyFill="1"/>
    <xf numFmtId="166" fontId="3" fillId="2" borderId="0" xfId="1" applyNumberFormat="1" applyFont="1" applyFill="1"/>
    <xf numFmtId="165" fontId="7" fillId="2" borderId="14" xfId="0" applyNumberFormat="1" applyFont="1" applyFill="1" applyBorder="1" applyAlignment="1">
      <alignment horizontal="right" wrapText="1"/>
    </xf>
    <xf numFmtId="165" fontId="5" fillId="2" borderId="6" xfId="0" applyNumberFormat="1" applyFont="1" applyFill="1" applyBorder="1"/>
    <xf numFmtId="165" fontId="5" fillId="2" borderId="5" xfId="0" applyNumberFormat="1" applyFont="1" applyFill="1" applyBorder="1"/>
    <xf numFmtId="168" fontId="5" fillId="2" borderId="15" xfId="25" applyNumberFormat="1" applyFont="1" applyFill="1" applyBorder="1" applyAlignment="1">
      <alignment horizontal="right" vertical="center" wrapText="1"/>
    </xf>
    <xf numFmtId="168" fontId="5" fillId="2" borderId="2" xfId="20" applyNumberFormat="1" applyFont="1" applyFill="1" applyBorder="1" applyAlignment="1">
      <alignment horizontal="right"/>
    </xf>
    <xf numFmtId="168" fontId="5" fillId="2" borderId="4" xfId="20" applyNumberFormat="1" applyFont="1" applyFill="1" applyBorder="1" applyAlignment="1">
      <alignment horizontal="right"/>
    </xf>
    <xf numFmtId="168" fontId="5" fillId="2" borderId="1" xfId="20" applyNumberFormat="1" applyFont="1" applyFill="1" applyBorder="1" applyAlignment="1">
      <alignment horizontal="right"/>
    </xf>
    <xf numFmtId="0" fontId="18" fillId="2" borderId="0" xfId="0" applyFont="1" applyFill="1"/>
    <xf numFmtId="0" fontId="40" fillId="0" borderId="0" xfId="0" applyFont="1"/>
    <xf numFmtId="165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169" fontId="3" fillId="2" borderId="0" xfId="1" applyNumberFormat="1" applyFont="1" applyFill="1"/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Border="1"/>
    <xf numFmtId="164" fontId="5" fillId="2" borderId="0" xfId="1" applyFont="1" applyFill="1" applyBorder="1"/>
    <xf numFmtId="1" fontId="5" fillId="2" borderId="0" xfId="0" applyNumberFormat="1" applyFont="1" applyFill="1" applyBorder="1"/>
    <xf numFmtId="166" fontId="5" fillId="2" borderId="12" xfId="1" applyNumberFormat="1" applyFont="1" applyFill="1" applyBorder="1"/>
    <xf numFmtId="0" fontId="17" fillId="2" borderId="14" xfId="0" applyFont="1" applyFill="1" applyBorder="1"/>
    <xf numFmtId="0" fontId="17" fillId="2" borderId="1" xfId="0" applyFont="1" applyFill="1" applyBorder="1"/>
    <xf numFmtId="0" fontId="18" fillId="2" borderId="4" xfId="0" applyFont="1" applyFill="1" applyBorder="1"/>
    <xf numFmtId="166" fontId="20" fillId="2" borderId="0" xfId="31" applyNumberFormat="1" applyFont="1" applyFill="1" applyBorder="1"/>
    <xf numFmtId="166" fontId="20" fillId="2" borderId="6" xfId="31" applyNumberFormat="1" applyFont="1" applyFill="1" applyBorder="1"/>
    <xf numFmtId="166" fontId="18" fillId="2" borderId="0" xfId="31" applyNumberFormat="1" applyFont="1" applyFill="1" applyBorder="1"/>
    <xf numFmtId="166" fontId="18" fillId="2" borderId="9" xfId="31" applyNumberFormat="1" applyFont="1" applyFill="1" applyBorder="1"/>
    <xf numFmtId="166" fontId="17" fillId="2" borderId="6" xfId="31" applyNumberFormat="1" applyFont="1" applyFill="1" applyBorder="1"/>
    <xf numFmtId="166" fontId="17" fillId="2" borderId="10" xfId="31" applyNumberFormat="1" applyFont="1" applyFill="1" applyBorder="1"/>
    <xf numFmtId="2" fontId="5" fillId="2" borderId="0" xfId="0" applyNumberFormat="1" applyFont="1" applyFill="1" applyBorder="1"/>
    <xf numFmtId="166" fontId="18" fillId="34" borderId="0" xfId="1" applyNumberFormat="1" applyFont="1" applyFill="1"/>
    <xf numFmtId="166" fontId="20" fillId="2" borderId="3" xfId="31" applyNumberFormat="1" applyFont="1" applyFill="1" applyBorder="1"/>
    <xf numFmtId="166" fontId="20" fillId="2" borderId="2" xfId="31" applyNumberFormat="1" applyFont="1" applyFill="1" applyBorder="1"/>
    <xf numFmtId="166" fontId="20" fillId="2" borderId="4" xfId="31" applyNumberFormat="1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</cellXfs>
  <cellStyles count="76">
    <cellStyle name="1000-sep (2 dec) 10" xfId="2"/>
    <cellStyle name="1000-sep (2 dec) 12" xfId="3"/>
    <cellStyle name="1000-sep (2 dec) 14" xfId="4"/>
    <cellStyle name="1000-sep (2 dec) 16" xfId="5"/>
    <cellStyle name="1000-sep (2 dec) 2" xfId="6"/>
    <cellStyle name="1000-sep (2 dec) 3" xfId="7"/>
    <cellStyle name="1000-sep (2 dec) 4" xfId="8"/>
    <cellStyle name="1000-sep (2 dec) 5" xfId="9"/>
    <cellStyle name="1000-sep (2 dec) 6" xfId="10"/>
    <cellStyle name="1000-sep (2 dec) 7" xfId="11"/>
    <cellStyle name="1000-sep (2 dec) 8" xfId="12"/>
    <cellStyle name="20 % - Farve1" xfId="49" builtinId="30" customBuiltin="1"/>
    <cellStyle name="20 % - Farve2" xfId="53" builtinId="34" customBuiltin="1"/>
    <cellStyle name="20 % - Farve3" xfId="57" builtinId="38" customBuiltin="1"/>
    <cellStyle name="20 % - Farve4" xfId="61" builtinId="42" customBuiltin="1"/>
    <cellStyle name="20 % - Farve5" xfId="65" builtinId="46" customBuiltin="1"/>
    <cellStyle name="20 % - Farve6" xfId="69" builtinId="50" customBuiltin="1"/>
    <cellStyle name="40 % - Farve1" xfId="50" builtinId="31" customBuiltin="1"/>
    <cellStyle name="40 % - Farve2" xfId="54" builtinId="35" customBuiltin="1"/>
    <cellStyle name="40 % - Farve3" xfId="58" builtinId="39" customBuiltin="1"/>
    <cellStyle name="40 % - Farve4" xfId="62" builtinId="43" customBuiltin="1"/>
    <cellStyle name="40 % - Farve5" xfId="66" builtinId="47" customBuiltin="1"/>
    <cellStyle name="40 % - Farve6" xfId="70" builtinId="51" customBuiltin="1"/>
    <cellStyle name="60 % - Farve1" xfId="51" builtinId="32" customBuiltin="1"/>
    <cellStyle name="60 % - Farve2" xfId="55" builtinId="36" customBuiltin="1"/>
    <cellStyle name="60 % - Farve3" xfId="59" builtinId="40" customBuiltin="1"/>
    <cellStyle name="60 % - Farve4" xfId="63" builtinId="44" customBuiltin="1"/>
    <cellStyle name="60 % - Farve5" xfId="67" builtinId="48" customBuiltin="1"/>
    <cellStyle name="60 % - Farve6" xfId="71" builtinId="52" customBuiltin="1"/>
    <cellStyle name="Advarselstekst" xfId="45" builtinId="11" customBuiltin="1"/>
    <cellStyle name="Bemærk! 2" xfId="73"/>
    <cellStyle name="Beregning" xfId="42" builtinId="22" customBuiltin="1"/>
    <cellStyle name="Besøgt link" xfId="75" builtinId="9" customBuiltin="1"/>
    <cellStyle name="Farve1" xfId="48" builtinId="29" customBuiltin="1"/>
    <cellStyle name="Farve2" xfId="52" builtinId="33" customBuiltin="1"/>
    <cellStyle name="Farve3" xfId="56" builtinId="37" customBuiltin="1"/>
    <cellStyle name="Farve4" xfId="60" builtinId="41" customBuiltin="1"/>
    <cellStyle name="Farve5" xfId="64" builtinId="45" customBuiltin="1"/>
    <cellStyle name="Farve6" xfId="68" builtinId="49" customBuiltin="1"/>
    <cellStyle name="Forklarende tekst" xfId="46" builtinId="53" customBuiltin="1"/>
    <cellStyle name="God" xfId="37" builtinId="26" customBuiltin="1"/>
    <cellStyle name="Input" xfId="40" builtinId="20" customBuiltin="1"/>
    <cellStyle name="Komma" xfId="1" builtinId="3"/>
    <cellStyle name="Komma 2" xfId="13"/>
    <cellStyle name="Komma 3" xfId="31"/>
    <cellStyle name="Kontrollér celle" xfId="44" builtinId="23" customBuiltin="1"/>
    <cellStyle name="Link" xfId="74" builtinId="8" customBuiltin="1"/>
    <cellStyle name="Neutral" xfId="39" builtinId="28" customBuiltin="1"/>
    <cellStyle name="Normal" xfId="0" builtinId="0"/>
    <cellStyle name="Normal 10" xfId="14"/>
    <cellStyle name="Normal 12" xfId="15"/>
    <cellStyle name="Normal 2" xfId="16"/>
    <cellStyle name="Normal 2 3" xfId="17"/>
    <cellStyle name="Normal 22" xfId="18"/>
    <cellStyle name="Normal 26" xfId="19"/>
    <cellStyle name="Normal 3" xfId="20"/>
    <cellStyle name="Normal 4" xfId="21"/>
    <cellStyle name="Normal 5" xfId="30"/>
    <cellStyle name="Normal 6" xfId="72"/>
    <cellStyle name="Normal 7" xfId="22"/>
    <cellStyle name="Normal 8" xfId="23"/>
    <cellStyle name="Normal 9" xfId="24"/>
    <cellStyle name="Normal_2008-29-05_DTD" xfId="25"/>
    <cellStyle name="Normal_2009 2009-priser med korr." xfId="26"/>
    <cellStyle name="Normal_pv05_23-05-07" xfId="27"/>
    <cellStyle name="Normal_pv06_23-05-07" xfId="28"/>
    <cellStyle name="Output" xfId="41" builtinId="21" customBuiltin="1"/>
    <cellStyle name="Overskrift 1" xfId="33" builtinId="16" customBuiltin="1"/>
    <cellStyle name="Overskrift 2" xfId="34" builtinId="17" customBuiltin="1"/>
    <cellStyle name="Overskrift 3" xfId="35" builtinId="18" customBuiltin="1"/>
    <cellStyle name="Overskrift 4" xfId="36" builtinId="19" customBuiltin="1"/>
    <cellStyle name="Procent" xfId="29" builtinId="5"/>
    <cellStyle name="Sammenkædet celle" xfId="43" builtinId="24" customBuiltin="1"/>
    <cellStyle name="Titel" xfId="32" builtinId="15" customBuiltin="1"/>
    <cellStyle name="Total" xfId="47" builtinId="25" customBuiltin="1"/>
    <cellStyle name="Ugyldig" xfId="3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68"/>
  <sheetViews>
    <sheetView workbookViewId="0"/>
  </sheetViews>
  <sheetFormatPr defaultColWidth="9.1796875" defaultRowHeight="13" x14ac:dyDescent="0.3"/>
  <cols>
    <col min="1" max="1" width="8.54296875" style="65" customWidth="1"/>
    <col min="2" max="2" width="39.26953125" style="51" customWidth="1"/>
    <col min="3" max="9" width="10" style="51" customWidth="1"/>
    <col min="10" max="10" width="19.26953125" style="51" customWidth="1"/>
    <col min="11" max="11" width="9.81640625" style="51" bestFit="1" customWidth="1"/>
    <col min="12" max="12" width="12.81640625" style="51" bestFit="1" customWidth="1"/>
    <col min="13" max="13" width="13.26953125" style="51" customWidth="1"/>
    <col min="14" max="14" width="9.1796875" style="51"/>
    <col min="15" max="15" width="10.81640625" style="51" customWidth="1"/>
    <col min="16" max="248" width="9.1796875" style="51"/>
    <col min="249" max="249" width="8.81640625" style="51" customWidth="1"/>
    <col min="250" max="250" width="38.81640625" style="51" bestFit="1" customWidth="1"/>
    <col min="251" max="254" width="10" style="51" customWidth="1"/>
    <col min="255" max="16384" width="9.1796875" style="52"/>
  </cols>
  <sheetData>
    <row r="1" spans="1:255" ht="15.5" x14ac:dyDescent="0.35">
      <c r="A1" s="50" t="str">
        <f>+'Skema1-7_2017'!A1</f>
        <v>Offentliggjort 9. marts 2021</v>
      </c>
      <c r="B1" s="24"/>
      <c r="C1" s="26"/>
      <c r="D1" s="26"/>
      <c r="E1" s="26"/>
      <c r="F1" s="26"/>
      <c r="G1" s="26"/>
      <c r="H1" s="26"/>
      <c r="I1" s="26"/>
      <c r="J1" s="26"/>
      <c r="K1" s="24"/>
    </row>
    <row r="2" spans="1:255" x14ac:dyDescent="0.3">
      <c r="A2" s="33" t="s">
        <v>82</v>
      </c>
      <c r="B2" s="24"/>
      <c r="C2" s="26"/>
      <c r="D2" s="26"/>
      <c r="E2" s="27"/>
      <c r="F2" s="27"/>
      <c r="G2" s="27"/>
      <c r="H2" s="28"/>
      <c r="I2" s="53"/>
      <c r="J2" s="28"/>
      <c r="K2" s="24"/>
    </row>
    <row r="3" spans="1:255" x14ac:dyDescent="0.3">
      <c r="A3" s="33" t="s">
        <v>47</v>
      </c>
      <c r="B3" s="24"/>
      <c r="C3" s="26"/>
      <c r="D3" s="26"/>
      <c r="E3" s="27"/>
      <c r="F3" s="27"/>
      <c r="G3" s="27"/>
      <c r="H3" s="28"/>
      <c r="I3" s="27"/>
      <c r="J3" s="28"/>
      <c r="L3" s="45"/>
      <c r="M3" s="45"/>
      <c r="N3" s="45"/>
      <c r="O3" s="28"/>
      <c r="P3" s="28"/>
      <c r="Q3" s="28"/>
      <c r="R3" s="39"/>
      <c r="S3" s="39"/>
      <c r="IU3" s="51"/>
    </row>
    <row r="4" spans="1:255" ht="42.5" x14ac:dyDescent="0.3">
      <c r="A4" s="11" t="s">
        <v>6</v>
      </c>
      <c r="B4" s="11" t="s">
        <v>0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71" t="s">
        <v>15</v>
      </c>
      <c r="L4" s="45"/>
      <c r="M4" s="45"/>
      <c r="N4" s="45"/>
      <c r="O4" s="40"/>
      <c r="P4" s="40"/>
      <c r="Q4" s="54"/>
      <c r="R4" s="40"/>
      <c r="S4" s="40"/>
      <c r="IU4" s="51"/>
    </row>
    <row r="5" spans="1:255" ht="12.75" customHeight="1" x14ac:dyDescent="0.3">
      <c r="A5" s="4">
        <v>1301</v>
      </c>
      <c r="B5" s="4" t="s">
        <v>1</v>
      </c>
      <c r="C5" s="5">
        <v>6170679.88686</v>
      </c>
      <c r="D5" s="5">
        <v>517941.99757798901</v>
      </c>
      <c r="E5" s="5">
        <v>718577.39735784079</v>
      </c>
      <c r="F5" s="5">
        <v>0</v>
      </c>
      <c r="G5" s="5">
        <v>40101.785130000004</v>
      </c>
      <c r="H5" s="5">
        <v>-1925589.1502383493</v>
      </c>
      <c r="I5" s="5">
        <v>23571.296818401184</v>
      </c>
      <c r="J5" s="6">
        <f>+SUM(C5:E5)-SUM(F5:I5)</f>
        <v>9269115.3500857782</v>
      </c>
      <c r="K5" s="3"/>
      <c r="L5" s="45"/>
      <c r="M5" s="45"/>
      <c r="N5" s="45"/>
      <c r="O5" s="41"/>
      <c r="P5" s="41"/>
      <c r="Q5" s="41"/>
      <c r="R5" s="41"/>
      <c r="S5" s="55"/>
      <c r="IU5" s="51"/>
    </row>
    <row r="6" spans="1:255" x14ac:dyDescent="0.3">
      <c r="A6" s="7">
        <v>1309</v>
      </c>
      <c r="B6" s="7" t="s">
        <v>67</v>
      </c>
      <c r="C6" s="5">
        <v>2088431.5564199998</v>
      </c>
      <c r="D6" s="5">
        <v>123315.12623432066</v>
      </c>
      <c r="E6" s="5">
        <v>191272.88459140586</v>
      </c>
      <c r="F6" s="5">
        <v>0</v>
      </c>
      <c r="G6" s="5">
        <v>16111.29358</v>
      </c>
      <c r="H6" s="5">
        <v>21254.600741363134</v>
      </c>
      <c r="I6" s="5">
        <v>-22540.126772911008</v>
      </c>
      <c r="J6" s="8">
        <f t="shared" ref="J6:J28" si="0">+SUM(C6:E6)-SUM(F6:I6)</f>
        <v>2388193.7996972739</v>
      </c>
      <c r="K6" s="3"/>
      <c r="L6" s="45"/>
      <c r="M6" s="45"/>
      <c r="N6" s="45"/>
      <c r="O6" s="42"/>
      <c r="P6" s="42"/>
      <c r="Q6" s="41"/>
      <c r="R6" s="41"/>
      <c r="S6" s="55"/>
      <c r="IU6" s="51"/>
    </row>
    <row r="7" spans="1:255" x14ac:dyDescent="0.3">
      <c r="A7" s="7">
        <v>1330</v>
      </c>
      <c r="B7" s="7" t="s">
        <v>68</v>
      </c>
      <c r="C7" s="5">
        <v>2663449.1830099998</v>
      </c>
      <c r="D7" s="5">
        <v>156602.38399746586</v>
      </c>
      <c r="E7" s="5">
        <v>242283.61078481906</v>
      </c>
      <c r="F7" s="5">
        <v>0</v>
      </c>
      <c r="G7" s="5">
        <v>18350.335589999999</v>
      </c>
      <c r="H7" s="5">
        <v>-1048.1410999210025</v>
      </c>
      <c r="I7" s="5">
        <v>30031.159562890189</v>
      </c>
      <c r="J7" s="8">
        <f>+SUM(C7:E7)-SUM(F7:I7)</f>
        <v>3015001.8237393154</v>
      </c>
      <c r="K7" s="3"/>
      <c r="L7" s="45"/>
      <c r="M7" s="45"/>
      <c r="N7" s="45"/>
      <c r="O7" s="42"/>
      <c r="P7" s="42"/>
      <c r="Q7" s="41"/>
      <c r="R7" s="56"/>
      <c r="S7" s="55"/>
      <c r="IU7" s="51"/>
    </row>
    <row r="8" spans="1:255" x14ac:dyDescent="0.3">
      <c r="A8" s="7">
        <v>1516</v>
      </c>
      <c r="B8" s="7" t="s">
        <v>70</v>
      </c>
      <c r="C8" s="5">
        <v>4387221.6944800001</v>
      </c>
      <c r="D8" s="5">
        <v>281556.82582725439</v>
      </c>
      <c r="E8" s="5">
        <v>405524.1162859684</v>
      </c>
      <c r="F8" s="5">
        <v>0</v>
      </c>
      <c r="G8" s="5">
        <v>33099.817080000001</v>
      </c>
      <c r="H8" s="5">
        <v>-130299.12496726001</v>
      </c>
      <c r="I8" s="5">
        <v>-11672.319846526649</v>
      </c>
      <c r="J8" s="8">
        <f>+SUM(C8:E8)-SUM(F8:I8)</f>
        <v>5183174.2643270092</v>
      </c>
      <c r="K8" s="3"/>
      <c r="L8" s="45"/>
      <c r="M8" s="45"/>
      <c r="N8" s="45"/>
      <c r="O8" s="42"/>
      <c r="P8" s="42"/>
      <c r="Q8" s="41"/>
      <c r="R8" s="56"/>
      <c r="S8" s="55"/>
      <c r="IU8" s="51"/>
    </row>
    <row r="9" spans="1:255" x14ac:dyDescent="0.3">
      <c r="A9" s="7">
        <v>1507</v>
      </c>
      <c r="B9" s="7" t="s">
        <v>113</v>
      </c>
      <c r="C9" s="5">
        <v>50690.665579999972</v>
      </c>
      <c r="D9" s="5">
        <v>3445.1376670471946</v>
      </c>
      <c r="E9" s="5">
        <v>5561.7114397377518</v>
      </c>
      <c r="F9" s="5">
        <v>0</v>
      </c>
      <c r="G9" s="5">
        <v>0</v>
      </c>
      <c r="H9" s="5">
        <v>-12501.339591621298</v>
      </c>
      <c r="I9" s="5">
        <v>41.930185222598013</v>
      </c>
      <c r="J9" s="8">
        <f>+SUM(C9:E9)-SUM(F9:I9)</f>
        <v>72156.924093183625</v>
      </c>
      <c r="K9" s="3"/>
      <c r="L9" s="45"/>
      <c r="M9" s="45"/>
      <c r="N9" s="45"/>
      <c r="O9" s="42"/>
      <c r="P9" s="42"/>
      <c r="Q9" s="41"/>
      <c r="R9" s="56"/>
      <c r="S9" s="55"/>
      <c r="IU9" s="51"/>
    </row>
    <row r="10" spans="1:255" x14ac:dyDescent="0.3">
      <c r="A10" s="7">
        <v>2000</v>
      </c>
      <c r="B10" s="7" t="s">
        <v>2</v>
      </c>
      <c r="C10" s="5">
        <v>2235263.2644899995</v>
      </c>
      <c r="D10" s="5">
        <v>129275.00395701954</v>
      </c>
      <c r="E10" s="5">
        <v>199858.53372501908</v>
      </c>
      <c r="F10" s="5">
        <v>0</v>
      </c>
      <c r="G10" s="5">
        <v>16921.19988</v>
      </c>
      <c r="H10" s="5">
        <v>80561.085267045346</v>
      </c>
      <c r="I10" s="5">
        <v>-11608.339525378397</v>
      </c>
      <c r="J10" s="8">
        <f t="shared" si="0"/>
        <v>2478522.8565503713</v>
      </c>
      <c r="K10" s="3"/>
      <c r="L10" s="45"/>
      <c r="M10" s="45"/>
      <c r="N10" s="45"/>
      <c r="O10" s="42"/>
      <c r="P10" s="42"/>
      <c r="Q10" s="41"/>
      <c r="R10" s="56"/>
      <c r="S10" s="55"/>
      <c r="IU10" s="51"/>
    </row>
    <row r="11" spans="1:255" x14ac:dyDescent="0.3">
      <c r="A11" s="7">
        <v>4001</v>
      </c>
      <c r="B11" s="7" t="s">
        <v>3</v>
      </c>
      <c r="C11" s="5">
        <v>407283.75511999999</v>
      </c>
      <c r="D11" s="5">
        <v>23502.55224653388</v>
      </c>
      <c r="E11" s="5">
        <v>36095.255495951555</v>
      </c>
      <c r="F11" s="5">
        <v>0</v>
      </c>
      <c r="G11" s="5">
        <v>1584.48901</v>
      </c>
      <c r="H11" s="5">
        <v>34508.175030972205</v>
      </c>
      <c r="I11" s="5">
        <v>7542.0239180025847</v>
      </c>
      <c r="J11" s="8">
        <f t="shared" si="0"/>
        <v>423246.87490351062</v>
      </c>
      <c r="K11" s="3"/>
      <c r="L11" s="45"/>
      <c r="M11" s="45"/>
      <c r="N11" s="45"/>
      <c r="O11" s="42"/>
      <c r="P11" s="42"/>
      <c r="Q11" s="41"/>
      <c r="R11" s="41"/>
      <c r="S11" s="55"/>
      <c r="IU11" s="51"/>
    </row>
    <row r="12" spans="1:255" x14ac:dyDescent="0.3">
      <c r="A12" s="7">
        <v>3810</v>
      </c>
      <c r="B12" s="7" t="s">
        <v>81</v>
      </c>
      <c r="C12" s="5">
        <v>3410224.145</v>
      </c>
      <c r="D12" s="5">
        <v>301856.01300000004</v>
      </c>
      <c r="E12" s="5">
        <v>166882.21</v>
      </c>
      <c r="F12" s="5">
        <v>0</v>
      </c>
      <c r="G12" s="5">
        <v>24045.500086789485</v>
      </c>
      <c r="H12" s="5">
        <v>109942.22198472054</v>
      </c>
      <c r="I12" s="5">
        <v>-48296.809643781489</v>
      </c>
      <c r="J12" s="8">
        <f t="shared" si="0"/>
        <v>3793271.4555722713</v>
      </c>
      <c r="K12" s="3"/>
      <c r="L12" s="45"/>
      <c r="M12" s="45"/>
      <c r="N12" s="45"/>
      <c r="O12" s="42"/>
      <c r="P12" s="42"/>
      <c r="Q12" s="41"/>
      <c r="R12" s="41"/>
      <c r="S12" s="55"/>
      <c r="IU12" s="51"/>
    </row>
    <row r="13" spans="1:255" x14ac:dyDescent="0.3">
      <c r="A13" s="7">
        <v>3820</v>
      </c>
      <c r="B13" s="7" t="s">
        <v>58</v>
      </c>
      <c r="C13" s="5">
        <v>1111081.7181500001</v>
      </c>
      <c r="D13" s="5">
        <v>129449.94799999995</v>
      </c>
      <c r="E13" s="5">
        <v>61936.671000000002</v>
      </c>
      <c r="F13" s="5">
        <v>0</v>
      </c>
      <c r="G13" s="5">
        <v>16712.642867006769</v>
      </c>
      <c r="H13" s="5">
        <v>29931.831531999411</v>
      </c>
      <c r="I13" s="5">
        <v>-36371.073408868004</v>
      </c>
      <c r="J13" s="8">
        <f t="shared" si="0"/>
        <v>1292194.9361598617</v>
      </c>
      <c r="K13" s="3"/>
      <c r="L13" s="45"/>
      <c r="M13" s="45"/>
      <c r="N13" s="45"/>
      <c r="O13" s="42"/>
      <c r="P13" s="42"/>
      <c r="Q13" s="41"/>
      <c r="R13" s="41"/>
      <c r="S13" s="55"/>
      <c r="IU13" s="51"/>
    </row>
    <row r="14" spans="1:255" x14ac:dyDescent="0.3">
      <c r="A14" s="7">
        <v>3830</v>
      </c>
      <c r="B14" s="7" t="s">
        <v>63</v>
      </c>
      <c r="C14" s="5">
        <v>2005375.8149300001</v>
      </c>
      <c r="D14" s="5">
        <v>265602.10599999997</v>
      </c>
      <c r="E14" s="5">
        <v>111198.16800000001</v>
      </c>
      <c r="F14" s="5">
        <v>0</v>
      </c>
      <c r="G14" s="5">
        <v>35574.528810000003</v>
      </c>
      <c r="H14" s="5">
        <v>122836.85492991099</v>
      </c>
      <c r="I14" s="5">
        <v>137692.20162188812</v>
      </c>
      <c r="J14" s="8">
        <f t="shared" si="0"/>
        <v>2086072.5035682009</v>
      </c>
      <c r="K14" s="3"/>
      <c r="L14" s="45"/>
      <c r="M14" s="45"/>
      <c r="N14" s="45"/>
      <c r="O14" s="42"/>
      <c r="P14" s="42"/>
      <c r="Q14" s="41"/>
      <c r="R14" s="41"/>
      <c r="S14" s="39"/>
      <c r="U14" s="51" t="s">
        <v>46</v>
      </c>
      <c r="IU14" s="51"/>
    </row>
    <row r="15" spans="1:255" x14ac:dyDescent="0.3">
      <c r="A15" s="7">
        <v>3840</v>
      </c>
      <c r="B15" s="7" t="s">
        <v>64</v>
      </c>
      <c r="C15" s="5">
        <v>800190.50199999998</v>
      </c>
      <c r="D15" s="5">
        <v>98718.831000000006</v>
      </c>
      <c r="E15" s="5">
        <v>47031.851999999999</v>
      </c>
      <c r="F15" s="5">
        <v>0</v>
      </c>
      <c r="G15" s="5">
        <v>8694.076815280001</v>
      </c>
      <c r="H15" s="5">
        <v>28831.48864729</v>
      </c>
      <c r="I15" s="5">
        <v>-45715.931369397396</v>
      </c>
      <c r="J15" s="8">
        <f t="shared" si="0"/>
        <v>954131.55090682732</v>
      </c>
      <c r="K15" s="3"/>
      <c r="L15" s="45"/>
      <c r="M15" s="45"/>
      <c r="N15" s="45"/>
      <c r="O15" s="42"/>
      <c r="P15" s="42"/>
      <c r="Q15" s="41"/>
      <c r="R15" s="41"/>
      <c r="S15" s="39"/>
      <c r="IU15" s="51"/>
    </row>
    <row r="16" spans="1:255" x14ac:dyDescent="0.3">
      <c r="A16" s="7">
        <v>4202</v>
      </c>
      <c r="B16" s="7" t="s">
        <v>4</v>
      </c>
      <c r="C16" s="5">
        <v>6828347.2935800003</v>
      </c>
      <c r="D16" s="5">
        <v>184246</v>
      </c>
      <c r="E16" s="5">
        <v>142825</v>
      </c>
      <c r="F16" s="5">
        <v>7390.4148709126021</v>
      </c>
      <c r="G16" s="5">
        <v>14177.432028637377</v>
      </c>
      <c r="H16" s="5">
        <v>202660.96747933014</v>
      </c>
      <c r="I16" s="5">
        <v>8275</v>
      </c>
      <c r="J16" s="8">
        <f t="shared" si="0"/>
        <v>6922914.4792011203</v>
      </c>
      <c r="K16" s="3"/>
      <c r="L16" s="45"/>
      <c r="M16" s="45"/>
      <c r="N16" s="45"/>
      <c r="O16" s="43"/>
      <c r="P16" s="43"/>
      <c r="Q16" s="43"/>
      <c r="R16" s="41"/>
      <c r="S16" s="39"/>
      <c r="IU16" s="51"/>
    </row>
    <row r="17" spans="1:255" x14ac:dyDescent="0.3">
      <c r="A17" s="7">
        <v>5000</v>
      </c>
      <c r="B17" s="7" t="s">
        <v>32</v>
      </c>
      <c r="C17" s="5">
        <v>1849527</v>
      </c>
      <c r="D17" s="5">
        <v>48303</v>
      </c>
      <c r="E17" s="5">
        <v>37444</v>
      </c>
      <c r="F17" s="5">
        <v>499.77190015999997</v>
      </c>
      <c r="G17" s="5">
        <v>10580.999830932</v>
      </c>
      <c r="H17" s="5">
        <v>113533.72721566506</v>
      </c>
      <c r="I17" s="5">
        <v>2502</v>
      </c>
      <c r="J17" s="8">
        <f t="shared" si="0"/>
        <v>1808157.5010532429</v>
      </c>
      <c r="K17" s="3"/>
      <c r="L17" s="45"/>
      <c r="M17" s="45"/>
      <c r="N17" s="45"/>
      <c r="O17" s="43"/>
      <c r="P17" s="43"/>
      <c r="Q17" s="43"/>
      <c r="R17" s="57"/>
      <c r="S17" s="39"/>
      <c r="IU17" s="51"/>
    </row>
    <row r="18" spans="1:255" x14ac:dyDescent="0.3">
      <c r="A18" s="7">
        <v>5501</v>
      </c>
      <c r="B18" s="7" t="s">
        <v>5</v>
      </c>
      <c r="C18" s="5">
        <v>1848466.57143</v>
      </c>
      <c r="D18" s="5">
        <v>48296</v>
      </c>
      <c r="E18" s="5">
        <v>37437</v>
      </c>
      <c r="F18" s="5">
        <v>3438.3224491854203</v>
      </c>
      <c r="G18" s="5">
        <v>3914.0433899999998</v>
      </c>
      <c r="H18" s="5">
        <v>88936.812782901368</v>
      </c>
      <c r="I18" s="5">
        <v>212</v>
      </c>
      <c r="J18" s="8">
        <f t="shared" si="0"/>
        <v>1837698.3928079132</v>
      </c>
      <c r="K18" s="3"/>
      <c r="L18" s="45"/>
      <c r="M18" s="45"/>
      <c r="N18" s="45"/>
      <c r="O18" s="43"/>
      <c r="P18" s="43"/>
      <c r="Q18" s="43"/>
      <c r="R18" s="57"/>
      <c r="S18" s="39"/>
      <c r="IU18" s="51"/>
    </row>
    <row r="19" spans="1:255" x14ac:dyDescent="0.3">
      <c r="A19" s="7">
        <v>6007</v>
      </c>
      <c r="B19" s="7" t="s">
        <v>60</v>
      </c>
      <c r="C19" s="5">
        <v>1478031.8928528687</v>
      </c>
      <c r="D19" s="5">
        <v>39075</v>
      </c>
      <c r="E19" s="5">
        <v>30291</v>
      </c>
      <c r="F19" s="5">
        <v>460.15386984375886</v>
      </c>
      <c r="G19" s="5">
        <v>715.75217363107083</v>
      </c>
      <c r="H19" s="5">
        <v>50615.289630654639</v>
      </c>
      <c r="I19" s="5">
        <v>-6200</v>
      </c>
      <c r="J19" s="8">
        <f t="shared" si="0"/>
        <v>1501806.6971787391</v>
      </c>
      <c r="K19" s="3"/>
      <c r="L19" s="45"/>
      <c r="M19" s="45"/>
      <c r="N19" s="45"/>
      <c r="O19" s="43"/>
      <c r="P19" s="43"/>
      <c r="Q19" s="43"/>
      <c r="R19" s="57"/>
      <c r="S19" s="39"/>
      <c r="IU19" s="51"/>
    </row>
    <row r="20" spans="1:255" x14ac:dyDescent="0.3">
      <c r="A20" s="7">
        <v>6008</v>
      </c>
      <c r="B20" s="7" t="s">
        <v>66</v>
      </c>
      <c r="C20" s="5">
        <v>1802412.0539671315</v>
      </c>
      <c r="D20" s="5">
        <v>47759</v>
      </c>
      <c r="E20" s="5">
        <v>37022</v>
      </c>
      <c r="F20" s="5">
        <v>4072.3343301562409</v>
      </c>
      <c r="G20" s="5">
        <v>5034.1269363689289</v>
      </c>
      <c r="H20" s="5">
        <v>62627.655889345362</v>
      </c>
      <c r="I20" s="5">
        <v>-4789</v>
      </c>
      <c r="J20" s="8">
        <f t="shared" si="0"/>
        <v>1820247.9368112609</v>
      </c>
      <c r="K20" s="3"/>
      <c r="L20" s="45"/>
      <c r="M20" s="45"/>
      <c r="N20" s="45"/>
      <c r="O20" s="43"/>
      <c r="P20" s="43"/>
      <c r="Q20" s="43"/>
      <c r="R20" s="41"/>
      <c r="S20" s="39"/>
      <c r="IU20" s="51"/>
    </row>
    <row r="21" spans="1:255" x14ac:dyDescent="0.3">
      <c r="A21" s="7">
        <v>6013</v>
      </c>
      <c r="B21" s="7" t="s">
        <v>59</v>
      </c>
      <c r="C21" s="5">
        <v>74646</v>
      </c>
      <c r="D21" s="5">
        <v>2421</v>
      </c>
      <c r="E21" s="5">
        <v>1876</v>
      </c>
      <c r="F21" s="5">
        <v>0</v>
      </c>
      <c r="G21" s="5">
        <v>0</v>
      </c>
      <c r="H21" s="5">
        <v>0</v>
      </c>
      <c r="I21" s="5">
        <v>0</v>
      </c>
      <c r="J21" s="8">
        <f t="shared" si="0"/>
        <v>78943</v>
      </c>
      <c r="K21" s="3"/>
      <c r="L21" s="45"/>
      <c r="M21" s="45"/>
      <c r="N21" s="45"/>
      <c r="O21" s="43"/>
      <c r="P21" s="43"/>
      <c r="Q21" s="43"/>
      <c r="R21" s="41"/>
      <c r="S21" s="39"/>
      <c r="IU21" s="51"/>
    </row>
    <row r="22" spans="1:255" x14ac:dyDescent="0.3">
      <c r="A22" s="7">
        <v>6006</v>
      </c>
      <c r="B22" s="7" t="s">
        <v>65</v>
      </c>
      <c r="C22" s="5">
        <v>1026185.3983400003</v>
      </c>
      <c r="D22" s="5">
        <v>44343</v>
      </c>
      <c r="E22" s="5">
        <v>21984</v>
      </c>
      <c r="F22" s="5">
        <v>0</v>
      </c>
      <c r="G22" s="5">
        <v>112.52602266666668</v>
      </c>
      <c r="H22" s="5">
        <v>44987.210476883301</v>
      </c>
      <c r="I22" s="5">
        <v>-13383</v>
      </c>
      <c r="J22" s="8">
        <f t="shared" si="0"/>
        <v>1060795.6618404503</v>
      </c>
      <c r="K22" s="3"/>
      <c r="L22" s="45"/>
      <c r="M22" s="45"/>
      <c r="N22" s="45"/>
      <c r="O22" s="45"/>
      <c r="P22" s="45"/>
      <c r="Q22" s="43"/>
      <c r="R22" s="58"/>
      <c r="S22" s="39"/>
      <c r="IU22" s="51"/>
    </row>
    <row r="23" spans="1:255" x14ac:dyDescent="0.3">
      <c r="A23" s="7">
        <v>6650</v>
      </c>
      <c r="B23" s="7" t="s">
        <v>48</v>
      </c>
      <c r="C23" s="5">
        <v>2270946.49052</v>
      </c>
      <c r="D23" s="5">
        <v>100325</v>
      </c>
      <c r="E23" s="5">
        <v>49737</v>
      </c>
      <c r="F23" s="5">
        <v>0</v>
      </c>
      <c r="G23" s="5">
        <v>2356.1821626769997</v>
      </c>
      <c r="H23" s="5">
        <v>94651.168891602385</v>
      </c>
      <c r="I23" s="5">
        <v>-40970</v>
      </c>
      <c r="J23" s="8">
        <f t="shared" si="0"/>
        <v>2364971.1394657204</v>
      </c>
      <c r="K23" s="3"/>
      <c r="L23" s="45"/>
      <c r="M23" s="45"/>
      <c r="N23" s="45"/>
      <c r="O23" s="45"/>
      <c r="P23" s="45"/>
      <c r="Q23" s="43"/>
      <c r="R23" s="59"/>
      <c r="S23" s="39"/>
      <c r="IU23" s="51"/>
    </row>
    <row r="24" spans="1:255" x14ac:dyDescent="0.3">
      <c r="A24" s="7">
        <v>6620</v>
      </c>
      <c r="B24" s="7" t="s">
        <v>69</v>
      </c>
      <c r="C24" s="5">
        <v>6815603.8352801222</v>
      </c>
      <c r="D24" s="5">
        <v>394925</v>
      </c>
      <c r="E24" s="5">
        <v>159317</v>
      </c>
      <c r="F24" s="5">
        <v>0</v>
      </c>
      <c r="G24" s="5">
        <v>26291.337877177044</v>
      </c>
      <c r="H24" s="5">
        <v>-359327.05381138006</v>
      </c>
      <c r="I24" s="5">
        <v>98036</v>
      </c>
      <c r="J24" s="8">
        <f t="shared" si="0"/>
        <v>7604845.5512143252</v>
      </c>
      <c r="K24" s="3"/>
      <c r="L24" s="45"/>
      <c r="M24" s="45"/>
      <c r="N24" s="45"/>
      <c r="O24" s="45"/>
      <c r="P24" s="45"/>
      <c r="Q24" s="43"/>
      <c r="R24" s="59"/>
      <c r="S24" s="39"/>
      <c r="IU24" s="51"/>
    </row>
    <row r="25" spans="1:255" x14ac:dyDescent="0.3">
      <c r="A25" s="7">
        <v>7005</v>
      </c>
      <c r="B25" s="7" t="s">
        <v>49</v>
      </c>
      <c r="C25" s="5">
        <v>1136252.1001299999</v>
      </c>
      <c r="D25" s="5">
        <v>49344</v>
      </c>
      <c r="E25" s="5">
        <v>24463</v>
      </c>
      <c r="F25" s="5">
        <v>0</v>
      </c>
      <c r="G25" s="5">
        <v>500.47399999999999</v>
      </c>
      <c r="H25" s="5">
        <v>23862.525282570135</v>
      </c>
      <c r="I25" s="5">
        <v>-20279</v>
      </c>
      <c r="J25" s="8">
        <f t="shared" si="0"/>
        <v>1205975.1008474298</v>
      </c>
      <c r="K25" s="3"/>
      <c r="L25" s="45"/>
      <c r="M25" s="45"/>
      <c r="N25" s="45"/>
      <c r="O25" s="45"/>
      <c r="P25" s="45"/>
      <c r="Q25" s="43"/>
      <c r="R25" s="59"/>
      <c r="S25" s="39"/>
      <c r="IU25" s="51"/>
    </row>
    <row r="26" spans="1:255" x14ac:dyDescent="0.3">
      <c r="A26" s="7">
        <v>6630</v>
      </c>
      <c r="B26" s="7" t="s">
        <v>57</v>
      </c>
      <c r="C26" s="5">
        <v>2362726.6292499998</v>
      </c>
      <c r="D26" s="5">
        <v>110051</v>
      </c>
      <c r="E26" s="5">
        <v>54558</v>
      </c>
      <c r="F26" s="5">
        <v>0</v>
      </c>
      <c r="G26" s="5">
        <v>5026.1607899999999</v>
      </c>
      <c r="H26" s="5">
        <v>-71483.976647991163</v>
      </c>
      <c r="I26" s="5">
        <v>-16724</v>
      </c>
      <c r="J26" s="8">
        <f t="shared" si="0"/>
        <v>2610517.4451079909</v>
      </c>
      <c r="K26" s="3"/>
      <c r="L26" s="45"/>
      <c r="M26" s="45"/>
      <c r="N26" s="45"/>
      <c r="O26" s="45"/>
      <c r="P26" s="45"/>
      <c r="Q26" s="43"/>
      <c r="R26" s="59"/>
      <c r="S26" s="39"/>
      <c r="IU26" s="51"/>
    </row>
    <row r="27" spans="1:255" x14ac:dyDescent="0.3">
      <c r="A27" s="7">
        <v>8001</v>
      </c>
      <c r="B27" s="7" t="s">
        <v>61</v>
      </c>
      <c r="C27" s="5">
        <v>5166912.75</v>
      </c>
      <c r="D27" s="5">
        <v>254746.28999999992</v>
      </c>
      <c r="E27" s="5">
        <v>109759.67200000001</v>
      </c>
      <c r="F27" s="5">
        <v>0</v>
      </c>
      <c r="G27" s="5">
        <v>75974.81</v>
      </c>
      <c r="H27" s="5">
        <v>884634.9110000002</v>
      </c>
      <c r="I27" s="5">
        <v>-105042.28899999999</v>
      </c>
      <c r="J27" s="8">
        <f t="shared" si="0"/>
        <v>4675851.28</v>
      </c>
      <c r="K27" s="3"/>
      <c r="L27" s="45"/>
      <c r="M27" s="45"/>
      <c r="N27" s="45"/>
      <c r="O27" s="45"/>
      <c r="P27" s="45"/>
      <c r="Q27" s="43"/>
      <c r="R27" s="59"/>
      <c r="S27" s="39"/>
      <c r="IU27" s="51"/>
    </row>
    <row r="28" spans="1:255" x14ac:dyDescent="0.3">
      <c r="A28" s="7">
        <v>8003</v>
      </c>
      <c r="B28" s="7" t="s">
        <v>80</v>
      </c>
      <c r="C28" s="5">
        <v>1571660.3680000002</v>
      </c>
      <c r="D28" s="5">
        <v>95919.328000000023</v>
      </c>
      <c r="E28" s="5">
        <v>44644.964</v>
      </c>
      <c r="F28" s="5">
        <v>0</v>
      </c>
      <c r="G28" s="5">
        <v>25280.795999999998</v>
      </c>
      <c r="H28" s="5">
        <v>130613.84799999998</v>
      </c>
      <c r="I28" s="5">
        <v>109962.23800000001</v>
      </c>
      <c r="J28" s="8">
        <f t="shared" si="0"/>
        <v>1446367.7780000002</v>
      </c>
      <c r="K28" s="3"/>
      <c r="L28" s="45"/>
      <c r="M28" s="45"/>
      <c r="N28" s="45"/>
      <c r="O28" s="45"/>
      <c r="P28" s="45"/>
      <c r="Q28" s="43"/>
      <c r="R28" s="59"/>
      <c r="S28" s="39"/>
      <c r="IU28" s="51"/>
    </row>
    <row r="29" spans="1:255" x14ac:dyDescent="0.3">
      <c r="A29" s="159"/>
      <c r="B29" s="148" t="s">
        <v>14</v>
      </c>
      <c r="C29" s="149">
        <f t="shared" ref="C29:J29" si="1">SUM(C5:C28)</f>
        <v>59561610.569390118</v>
      </c>
      <c r="D29" s="149">
        <f t="shared" si="1"/>
        <v>3451019.5435076305</v>
      </c>
      <c r="E29" s="149">
        <f t="shared" si="1"/>
        <v>2937581.0466807424</v>
      </c>
      <c r="F29" s="149">
        <f t="shared" si="1"/>
        <v>15860.99742025802</v>
      </c>
      <c r="G29" s="149">
        <f t="shared" si="1"/>
        <v>381160.3100611663</v>
      </c>
      <c r="H29" s="149">
        <f t="shared" si="1"/>
        <v>-375258.4115742686</v>
      </c>
      <c r="I29" s="149">
        <f t="shared" si="1"/>
        <v>34273.96053954176</v>
      </c>
      <c r="J29" s="150">
        <f t="shared" si="1"/>
        <v>65894174.303131789</v>
      </c>
      <c r="K29" s="3"/>
      <c r="L29" s="45"/>
      <c r="M29" s="45"/>
      <c r="N29" s="45"/>
      <c r="O29" s="45"/>
      <c r="P29" s="45"/>
      <c r="Q29" s="43"/>
      <c r="R29" s="59"/>
      <c r="S29" s="39"/>
      <c r="IU29" s="51"/>
    </row>
    <row r="30" spans="1:255" x14ac:dyDescent="0.3">
      <c r="A30" s="68"/>
      <c r="B30" s="68"/>
      <c r="C30" s="47"/>
      <c r="D30" s="47"/>
      <c r="E30" s="47"/>
      <c r="F30" s="47"/>
      <c r="G30" s="47"/>
      <c r="H30" s="47"/>
      <c r="I30" s="47"/>
      <c r="J30" s="47"/>
      <c r="K30" s="3"/>
      <c r="L30" s="45"/>
      <c r="M30" s="45"/>
      <c r="N30" s="45"/>
      <c r="O30" s="45"/>
      <c r="P30" s="45"/>
      <c r="Q30" s="43"/>
      <c r="R30" s="59"/>
      <c r="S30" s="39"/>
      <c r="IU30" s="51"/>
    </row>
    <row r="31" spans="1:255" x14ac:dyDescent="0.3">
      <c r="A31" s="157"/>
      <c r="B31" s="17" t="s">
        <v>26</v>
      </c>
      <c r="C31" s="6">
        <f t="shared" ref="C31:J31" si="2">SUM(C5:C11)</f>
        <v>18003020.005960003</v>
      </c>
      <c r="D31" s="18">
        <f t="shared" si="2"/>
        <v>1235639.0275076302</v>
      </c>
      <c r="E31" s="18">
        <f t="shared" si="2"/>
        <v>1799173.5096807424</v>
      </c>
      <c r="F31" s="18">
        <f t="shared" si="2"/>
        <v>0</v>
      </c>
      <c r="G31" s="18">
        <f t="shared" si="2"/>
        <v>126168.92027000002</v>
      </c>
      <c r="H31" s="18">
        <f t="shared" si="2"/>
        <v>-1933113.894857771</v>
      </c>
      <c r="I31" s="18">
        <f t="shared" si="2"/>
        <v>15365.624339700506</v>
      </c>
      <c r="J31" s="6">
        <f t="shared" si="2"/>
        <v>22829411.893396441</v>
      </c>
      <c r="K31" s="24"/>
      <c r="L31" s="47"/>
      <c r="M31" s="41"/>
      <c r="N31" s="42"/>
      <c r="O31" s="42"/>
      <c r="P31" s="42"/>
      <c r="Q31" s="42"/>
      <c r="R31" s="60"/>
      <c r="S31" s="61"/>
      <c r="IU31" s="51"/>
    </row>
    <row r="32" spans="1:255" x14ac:dyDescent="0.3">
      <c r="A32" s="157"/>
      <c r="B32" s="19" t="s">
        <v>27</v>
      </c>
      <c r="C32" s="155">
        <f t="shared" ref="C32:J32" si="3">SUM(C12:C15)</f>
        <v>7326872.1800800012</v>
      </c>
      <c r="D32" s="155">
        <f t="shared" si="3"/>
        <v>795626.89800000004</v>
      </c>
      <c r="E32" s="155">
        <f t="shared" si="3"/>
        <v>387048.90100000001</v>
      </c>
      <c r="F32" s="155">
        <f t="shared" si="3"/>
        <v>0</v>
      </c>
      <c r="G32" s="155">
        <f t="shared" si="3"/>
        <v>85026.748579076258</v>
      </c>
      <c r="H32" s="155">
        <f t="shared" si="3"/>
        <v>291542.39709392091</v>
      </c>
      <c r="I32" s="155">
        <f t="shared" si="3"/>
        <v>7308.3871998412214</v>
      </c>
      <c r="J32" s="8">
        <f t="shared" si="3"/>
        <v>8125670.446207162</v>
      </c>
      <c r="K32" s="1"/>
      <c r="L32" s="47"/>
      <c r="M32" s="41"/>
      <c r="N32" s="45"/>
      <c r="O32" s="45"/>
      <c r="P32" s="45"/>
      <c r="Q32" s="45"/>
      <c r="R32" s="57"/>
      <c r="S32" s="39"/>
      <c r="IU32" s="51"/>
    </row>
    <row r="33" spans="1:255" x14ac:dyDescent="0.3">
      <c r="A33" s="157"/>
      <c r="B33" s="19" t="s">
        <v>28</v>
      </c>
      <c r="C33" s="5">
        <f t="shared" ref="C33:J33" si="4">SUM(C16:C21)</f>
        <v>13881430.811829999</v>
      </c>
      <c r="D33" s="5">
        <f t="shared" si="4"/>
        <v>370100</v>
      </c>
      <c r="E33" s="5">
        <f t="shared" si="4"/>
        <v>286895</v>
      </c>
      <c r="F33" s="5">
        <f t="shared" si="4"/>
        <v>15860.99742025802</v>
      </c>
      <c r="G33" s="5">
        <f t="shared" si="4"/>
        <v>34422.354359569377</v>
      </c>
      <c r="H33" s="5">
        <f t="shared" si="4"/>
        <v>518374.45299789647</v>
      </c>
      <c r="I33" s="5">
        <f t="shared" si="4"/>
        <v>0</v>
      </c>
      <c r="J33" s="8">
        <f t="shared" si="4"/>
        <v>13969768.007052276</v>
      </c>
      <c r="K33" s="24"/>
      <c r="L33" s="62"/>
      <c r="M33" s="63"/>
      <c r="N33" s="45"/>
      <c r="O33" s="45"/>
      <c r="P33" s="45"/>
      <c r="Q33" s="45"/>
      <c r="R33" s="57"/>
      <c r="S33" s="39"/>
      <c r="IU33" s="51"/>
    </row>
    <row r="34" spans="1:255" x14ac:dyDescent="0.3">
      <c r="A34" s="157"/>
      <c r="B34" s="19" t="s">
        <v>29</v>
      </c>
      <c r="C34" s="5">
        <f t="shared" ref="C34:J34" si="5">SUM(C22:C26)</f>
        <v>13611714.453520121</v>
      </c>
      <c r="D34" s="5">
        <f t="shared" si="5"/>
        <v>698988</v>
      </c>
      <c r="E34" s="5">
        <f t="shared" si="5"/>
        <v>310059</v>
      </c>
      <c r="F34" s="5">
        <f t="shared" si="5"/>
        <v>0</v>
      </c>
      <c r="G34" s="5">
        <f t="shared" si="5"/>
        <v>34286.680852520709</v>
      </c>
      <c r="H34" s="5">
        <f t="shared" si="5"/>
        <v>-267310.12580831541</v>
      </c>
      <c r="I34" s="5">
        <f t="shared" si="5"/>
        <v>6680</v>
      </c>
      <c r="J34" s="8">
        <f t="shared" si="5"/>
        <v>14847104.898475917</v>
      </c>
      <c r="K34" s="24"/>
      <c r="L34" s="62"/>
      <c r="M34" s="63"/>
      <c r="N34" s="45"/>
      <c r="O34" s="45"/>
      <c r="P34" s="45"/>
      <c r="Q34" s="45"/>
      <c r="R34" s="57"/>
      <c r="S34" s="39"/>
      <c r="IU34" s="51"/>
    </row>
    <row r="35" spans="1:255" x14ac:dyDescent="0.3">
      <c r="A35" s="158"/>
      <c r="B35" s="20" t="s">
        <v>30</v>
      </c>
      <c r="C35" s="5">
        <f t="shared" ref="C35:J35" si="6">+SUM(C27:C28)</f>
        <v>6738573.1180000007</v>
      </c>
      <c r="D35" s="5">
        <f t="shared" si="6"/>
        <v>350665.61799999996</v>
      </c>
      <c r="E35" s="5">
        <f t="shared" si="6"/>
        <v>154404.636</v>
      </c>
      <c r="F35" s="5">
        <f t="shared" si="6"/>
        <v>0</v>
      </c>
      <c r="G35" s="5">
        <f t="shared" si="6"/>
        <v>101255.606</v>
      </c>
      <c r="H35" s="5">
        <f t="shared" si="6"/>
        <v>1015248.7590000002</v>
      </c>
      <c r="I35" s="5">
        <f t="shared" si="6"/>
        <v>4919.9490000000224</v>
      </c>
      <c r="J35" s="8">
        <f t="shared" si="6"/>
        <v>6122219.0580000002</v>
      </c>
      <c r="K35" s="24"/>
      <c r="L35" s="62"/>
      <c r="M35" s="63"/>
      <c r="N35" s="48"/>
      <c r="O35" s="48"/>
      <c r="P35" s="48"/>
      <c r="Q35" s="48"/>
      <c r="R35" s="57"/>
      <c r="S35" s="39"/>
      <c r="IU35" s="51"/>
    </row>
    <row r="36" spans="1:255" x14ac:dyDescent="0.3">
      <c r="A36" s="77"/>
      <c r="B36" s="13" t="s">
        <v>14</v>
      </c>
      <c r="C36" s="22">
        <f>+SUM(C31:C35)</f>
        <v>59561610.569390118</v>
      </c>
      <c r="D36" s="22">
        <f t="shared" ref="D36:J36" si="7">+SUM(D31:D35)</f>
        <v>3451019.54350763</v>
      </c>
      <c r="E36" s="22">
        <f t="shared" si="7"/>
        <v>2937581.0466807424</v>
      </c>
      <c r="F36" s="22">
        <f t="shared" si="7"/>
        <v>15860.99742025802</v>
      </c>
      <c r="G36" s="22">
        <f t="shared" si="7"/>
        <v>381160.3100611663</v>
      </c>
      <c r="H36" s="22">
        <f t="shared" si="7"/>
        <v>-375258.4115742686</v>
      </c>
      <c r="I36" s="22">
        <f t="shared" si="7"/>
        <v>34273.960539541746</v>
      </c>
      <c r="J36" s="23">
        <f t="shared" si="7"/>
        <v>65894174.303131789</v>
      </c>
      <c r="K36" s="24"/>
      <c r="L36" s="39"/>
      <c r="M36" s="39"/>
      <c r="N36" s="49"/>
      <c r="O36" s="49"/>
      <c r="P36" s="49"/>
      <c r="Q36" s="49"/>
      <c r="R36" s="46"/>
      <c r="S36" s="39"/>
      <c r="IU36" s="51"/>
    </row>
    <row r="37" spans="1:255" x14ac:dyDescent="0.3">
      <c r="A37" s="38"/>
      <c r="B37" s="78"/>
      <c r="C37" s="64"/>
      <c r="D37" s="26"/>
      <c r="E37" s="26"/>
      <c r="F37" s="26"/>
      <c r="G37" s="26"/>
      <c r="H37" s="26"/>
      <c r="I37" s="26"/>
      <c r="J37" s="26"/>
      <c r="K37" s="24"/>
      <c r="IU37" s="51"/>
    </row>
    <row r="38" spans="1:255" x14ac:dyDescent="0.3">
      <c r="B38" s="78"/>
    </row>
    <row r="39" spans="1:255" x14ac:dyDescent="0.3">
      <c r="A39" s="66"/>
      <c r="B39" s="67"/>
      <c r="C39" s="67"/>
      <c r="D39" s="67"/>
      <c r="E39" s="67"/>
    </row>
    <row r="40" spans="1:255" x14ac:dyDescent="0.3">
      <c r="A40" s="68"/>
      <c r="B40" s="68"/>
      <c r="C40" s="3"/>
      <c r="D40" s="3"/>
      <c r="E40" s="69"/>
      <c r="G40" s="70"/>
    </row>
    <row r="41" spans="1:255" x14ac:dyDescent="0.3">
      <c r="A41" s="68"/>
      <c r="B41" s="68"/>
      <c r="C41" s="3"/>
      <c r="D41" s="3"/>
      <c r="E41" s="69"/>
      <c r="G41" s="70"/>
      <c r="J41" s="47"/>
    </row>
    <row r="42" spans="1:255" x14ac:dyDescent="0.3">
      <c r="A42" s="68"/>
      <c r="B42" s="68"/>
      <c r="C42" s="3"/>
      <c r="D42" s="3"/>
      <c r="E42" s="69"/>
      <c r="G42" s="70"/>
      <c r="J42" s="47"/>
    </row>
    <row r="43" spans="1:255" x14ac:dyDescent="0.3">
      <c r="A43" s="68"/>
      <c r="B43" s="68"/>
      <c r="C43" s="3"/>
      <c r="D43" s="3"/>
      <c r="E43" s="69"/>
      <c r="G43" s="70"/>
      <c r="J43" s="47"/>
    </row>
    <row r="44" spans="1:255" x14ac:dyDescent="0.3">
      <c r="A44" s="68"/>
      <c r="B44" s="68"/>
      <c r="C44" s="3"/>
      <c r="D44" s="3"/>
      <c r="E44" s="69"/>
      <c r="G44" s="70"/>
      <c r="J44" s="70"/>
    </row>
    <row r="45" spans="1:255" x14ac:dyDescent="0.3">
      <c r="A45" s="68"/>
      <c r="B45" s="68"/>
      <c r="C45" s="3"/>
      <c r="D45" s="3"/>
      <c r="E45" s="69"/>
      <c r="G45" s="70"/>
    </row>
    <row r="46" spans="1:255" x14ac:dyDescent="0.3">
      <c r="A46" s="68"/>
      <c r="B46" s="68"/>
      <c r="C46" s="3"/>
      <c r="D46" s="3"/>
      <c r="E46" s="69"/>
      <c r="G46" s="70"/>
    </row>
    <row r="47" spans="1:255" x14ac:dyDescent="0.3">
      <c r="A47" s="68"/>
      <c r="B47" s="68"/>
      <c r="C47" s="3"/>
      <c r="D47" s="3"/>
      <c r="E47" s="69"/>
      <c r="G47" s="70"/>
    </row>
    <row r="48" spans="1:255" x14ac:dyDescent="0.3">
      <c r="A48" s="68"/>
      <c r="B48" s="68"/>
      <c r="C48" s="3"/>
      <c r="D48" s="3"/>
      <c r="E48" s="69"/>
      <c r="G48" s="70"/>
    </row>
    <row r="49" spans="1:7" x14ac:dyDescent="0.3">
      <c r="A49" s="68"/>
      <c r="B49" s="68"/>
      <c r="C49" s="3"/>
      <c r="D49" s="3"/>
      <c r="E49" s="69"/>
      <c r="G49" s="70"/>
    </row>
    <row r="50" spans="1:7" x14ac:dyDescent="0.3">
      <c r="A50" s="68"/>
      <c r="B50" s="68"/>
      <c r="C50" s="3"/>
      <c r="D50" s="3"/>
      <c r="E50" s="69"/>
      <c r="G50" s="70"/>
    </row>
    <row r="51" spans="1:7" x14ac:dyDescent="0.3">
      <c r="A51" s="68"/>
      <c r="B51" s="68"/>
      <c r="C51" s="3"/>
      <c r="D51" s="3"/>
      <c r="E51" s="69"/>
      <c r="G51" s="70"/>
    </row>
    <row r="52" spans="1:7" x14ac:dyDescent="0.3">
      <c r="A52" s="68"/>
      <c r="B52" s="68"/>
      <c r="C52" s="3"/>
      <c r="D52" s="3"/>
      <c r="E52" s="69"/>
    </row>
    <row r="53" spans="1:7" x14ac:dyDescent="0.3">
      <c r="A53" s="68"/>
      <c r="B53" s="68"/>
      <c r="C53" s="3"/>
      <c r="D53" s="3"/>
      <c r="E53" s="69"/>
    </row>
    <row r="54" spans="1:7" x14ac:dyDescent="0.3">
      <c r="A54" s="68"/>
      <c r="B54" s="68"/>
      <c r="C54" s="3"/>
      <c r="D54" s="3"/>
      <c r="E54" s="69"/>
    </row>
    <row r="55" spans="1:7" x14ac:dyDescent="0.3">
      <c r="A55" s="68"/>
      <c r="B55" s="68"/>
      <c r="C55" s="3"/>
      <c r="D55" s="3"/>
      <c r="E55" s="69"/>
    </row>
    <row r="56" spans="1:7" x14ac:dyDescent="0.3">
      <c r="A56" s="68"/>
      <c r="B56" s="68"/>
      <c r="C56" s="3"/>
      <c r="D56" s="3"/>
      <c r="E56" s="69"/>
    </row>
    <row r="57" spans="1:7" x14ac:dyDescent="0.3">
      <c r="A57" s="68"/>
      <c r="B57" s="68"/>
      <c r="C57" s="3"/>
      <c r="D57" s="3"/>
      <c r="E57" s="69"/>
    </row>
    <row r="58" spans="1:7" x14ac:dyDescent="0.3">
      <c r="A58" s="68"/>
      <c r="B58" s="68"/>
      <c r="C58" s="3"/>
      <c r="D58" s="3"/>
      <c r="E58" s="69"/>
    </row>
    <row r="59" spans="1:7" x14ac:dyDescent="0.3">
      <c r="A59" s="68"/>
      <c r="B59" s="68"/>
      <c r="C59" s="3"/>
      <c r="D59" s="3"/>
      <c r="E59" s="3"/>
    </row>
    <row r="60" spans="1:7" x14ac:dyDescent="0.3">
      <c r="A60" s="68"/>
      <c r="B60" s="68"/>
      <c r="C60" s="3"/>
      <c r="D60" s="3"/>
      <c r="E60" s="3"/>
    </row>
    <row r="61" spans="1:7" x14ac:dyDescent="0.3">
      <c r="A61" s="68"/>
      <c r="B61" s="68"/>
      <c r="C61" s="3"/>
      <c r="D61" s="3"/>
      <c r="E61" s="3"/>
    </row>
    <row r="62" spans="1:7" x14ac:dyDescent="0.3">
      <c r="A62" s="68"/>
      <c r="B62" s="68"/>
      <c r="C62" s="3"/>
      <c r="D62" s="3"/>
      <c r="E62" s="3"/>
    </row>
    <row r="63" spans="1:7" x14ac:dyDescent="0.3">
      <c r="A63" s="68"/>
      <c r="B63" s="68"/>
      <c r="C63" s="3"/>
      <c r="D63" s="3"/>
      <c r="E63" s="3"/>
    </row>
    <row r="64" spans="1:7" x14ac:dyDescent="0.3">
      <c r="A64" s="68"/>
      <c r="B64" s="68"/>
      <c r="C64" s="3"/>
      <c r="D64" s="3"/>
      <c r="E64" s="3"/>
    </row>
    <row r="65" spans="1:5" x14ac:dyDescent="0.3">
      <c r="A65" s="68"/>
      <c r="B65" s="68"/>
      <c r="C65" s="3"/>
      <c r="D65" s="3"/>
      <c r="E65" s="3"/>
    </row>
    <row r="66" spans="1:5" x14ac:dyDescent="0.3">
      <c r="A66" s="68"/>
      <c r="B66" s="68"/>
      <c r="C66" s="3"/>
      <c r="D66" s="3"/>
      <c r="E66" s="3"/>
    </row>
    <row r="67" spans="1:5" x14ac:dyDescent="0.3">
      <c r="A67" s="68"/>
      <c r="B67" s="68"/>
      <c r="C67" s="3"/>
      <c r="D67" s="3"/>
      <c r="E67" s="3"/>
    </row>
    <row r="68" spans="1:5" x14ac:dyDescent="0.3">
      <c r="A68" s="66"/>
      <c r="B68" s="67"/>
      <c r="C68" s="67"/>
      <c r="D68" s="67"/>
      <c r="E68" s="67"/>
    </row>
  </sheetData>
  <pageMargins left="0.70866141732283472" right="0.70866141732283472" top="0.74803149606299213" bottom="0.74803149606299213" header="0.31496062992125984" footer="0.31496062992125984"/>
  <pageSetup paperSize="9" scale="10" orientation="landscape" cellComments="asDisplayed" horizontalDpi="300" verticalDpi="300" r:id="rId1"/>
  <ignoredErrors>
    <ignoredError sqref="D31:I35 C31:C3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activeCell="F9" sqref="F9"/>
    </sheetView>
  </sheetViews>
  <sheetFormatPr defaultColWidth="8.81640625" defaultRowHeight="11.5" x14ac:dyDescent="0.25"/>
  <cols>
    <col min="1" max="1" width="8.54296875" style="104" customWidth="1"/>
    <col min="2" max="2" width="39.26953125" style="104" customWidth="1"/>
    <col min="3" max="6" width="12.81640625" style="104" customWidth="1"/>
    <col min="7" max="16384" width="8.81640625" style="104"/>
  </cols>
  <sheetData>
    <row r="1" spans="1:11" ht="15.5" x14ac:dyDescent="0.35">
      <c r="A1" s="72" t="str">
        <f>'Skema1-7_2017'!A1</f>
        <v>Offentliggjort 9. marts 2021</v>
      </c>
    </row>
    <row r="2" spans="1:11" ht="13.5" customHeight="1" x14ac:dyDescent="0.3">
      <c r="A2" s="105" t="s">
        <v>92</v>
      </c>
    </row>
    <row r="3" spans="1:11" ht="13.5" customHeight="1" x14ac:dyDescent="0.3">
      <c r="A3" s="90" t="s">
        <v>45</v>
      </c>
    </row>
    <row r="4" spans="1:11" ht="58.5" customHeight="1" x14ac:dyDescent="0.3">
      <c r="A4" s="73" t="s">
        <v>6</v>
      </c>
      <c r="B4" s="73" t="s">
        <v>0</v>
      </c>
      <c r="C4" s="12" t="s">
        <v>33</v>
      </c>
      <c r="D4" s="12" t="s">
        <v>21</v>
      </c>
      <c r="E4" s="12" t="s">
        <v>24</v>
      </c>
      <c r="F4" s="12" t="s">
        <v>31</v>
      </c>
      <c r="I4" s="109"/>
      <c r="J4" s="109"/>
      <c r="K4" s="109"/>
    </row>
    <row r="5" spans="1:11" ht="13.5" customHeight="1" x14ac:dyDescent="0.3">
      <c r="A5" s="74">
        <f>+'(skema1-7_2017 - 17pl)'!A5</f>
        <v>1301</v>
      </c>
      <c r="B5" s="4" t="str">
        <f>+'(skema1-7_2017 - 17pl)'!B5</f>
        <v>Rigshospitalet</v>
      </c>
      <c r="C5" s="81">
        <f>IF(DRG_17!C5=0,"-",DRG_18!C5/DRG_17!C5*100-100)</f>
        <v>3.6573640630893891</v>
      </c>
      <c r="D5" s="81">
        <f>IF(DRG_17!D5=0,"-",DRG_18!D5/DRG_17!D5*100-100)</f>
        <v>5.9481241442314285</v>
      </c>
      <c r="E5" s="81">
        <f>IF(DRG_18!E5=0,"-",DRG_18!E5/DRG_17!E5*100-100)</f>
        <v>-3.9658385680045569</v>
      </c>
      <c r="F5" s="29">
        <f>IF(DRG_17!G5=0,"-",DRG_18!G5/DRG_17!G5*100-100)</f>
        <v>4.7632115515047673</v>
      </c>
      <c r="H5" s="106"/>
      <c r="I5" s="109"/>
      <c r="J5" s="109"/>
      <c r="K5" s="109"/>
    </row>
    <row r="6" spans="1:11" ht="13.5" customHeight="1" x14ac:dyDescent="0.3">
      <c r="A6" s="75">
        <f>+'(skema1-7_2017 - 17pl)'!A6</f>
        <v>1309</v>
      </c>
      <c r="B6" s="7" t="str">
        <f>+'(skema1-7_2017 - 17pl)'!B6</f>
        <v>Bispebjerg og Frederiksberg Hospital</v>
      </c>
      <c r="C6" s="81">
        <f>IF(DRG_17!C6=0,"-",DRG_18!C6/DRG_17!C6*100-100)</f>
        <v>-23.99267882549465</v>
      </c>
      <c r="D6" s="81">
        <f>IF(DRG_17!D6=0,"-",DRG_18!D6/DRG_17!D6*100-100)</f>
        <v>19.432411728922588</v>
      </c>
      <c r="E6" s="81">
        <f>IF(DRG_18!E6=0,"-",DRG_18!E6/DRG_17!E6*100-100)</f>
        <v>-2.3111792713260684</v>
      </c>
      <c r="F6" s="29">
        <f>IF(DRG_17!G6=0,"-",DRG_18!G6/DRG_17!G6*100-100)</f>
        <v>1.4225099016196339</v>
      </c>
      <c r="H6" s="106"/>
      <c r="I6" s="109"/>
      <c r="J6" s="109"/>
      <c r="K6" s="109"/>
    </row>
    <row r="7" spans="1:11" ht="13.5" customHeight="1" x14ac:dyDescent="0.3">
      <c r="A7" s="75">
        <f>+'(skema1-7_2017 - 17pl)'!A7</f>
        <v>1330</v>
      </c>
      <c r="B7" s="7" t="str">
        <f>+'(skema1-7_2017 - 17pl)'!B7</f>
        <v>Amager og Hvidovre Hospital</v>
      </c>
      <c r="C7" s="81">
        <f>IF(DRG_17!C7=0,"-",DRG_18!C7/DRG_17!C7*100-100)</f>
        <v>0.83170795391009733</v>
      </c>
      <c r="D7" s="81">
        <f>IF(DRG_17!D7=0,"-",DRG_18!D7/DRG_17!D7*100-100)</f>
        <v>40.538855374030646</v>
      </c>
      <c r="E7" s="81">
        <f>IF(DRG_18!E7=0,"-",DRG_18!E7/DRG_17!E7*100-100)</f>
        <v>-118.12042175998802</v>
      </c>
      <c r="F7" s="29">
        <f>IF(DRG_17!G7=0,"-",DRG_18!G7/DRG_17!G7*100-100)</f>
        <v>3.55298838696514</v>
      </c>
      <c r="H7" s="106"/>
      <c r="I7" s="109"/>
      <c r="J7" s="109"/>
      <c r="K7" s="109"/>
    </row>
    <row r="8" spans="1:11" ht="13.5" customHeight="1" x14ac:dyDescent="0.3">
      <c r="A8" s="75">
        <f>+'(skema1-7_2017 - 17pl)'!A8</f>
        <v>1516</v>
      </c>
      <c r="B8" s="7" t="str">
        <f>+'(skema1-7_2017 - 17pl)'!B8</f>
        <v>Herlev og Gentofte Hospital</v>
      </c>
      <c r="C8" s="81">
        <f>IF(DRG_17!C8=0,"-",DRG_18!C8/DRG_17!C8*100-100)</f>
        <v>0.77558243741471244</v>
      </c>
      <c r="D8" s="81">
        <f>IF(DRG_17!D8=0,"-",DRG_18!D8/DRG_17!D8*100-100)</f>
        <v>6.3886980403958091</v>
      </c>
      <c r="E8" s="81">
        <f>IF(DRG_18!E8=0,"-",DRG_18!E8/DRG_17!E8*100-100)</f>
        <v>-5.5646952480995111</v>
      </c>
      <c r="F8" s="29">
        <f>IF(DRG_17!G8=0,"-",DRG_18!G8/DRG_17!G8*100-100)</f>
        <v>0.90513284184383735</v>
      </c>
      <c r="H8" s="106"/>
      <c r="I8" s="109"/>
      <c r="J8" s="109"/>
      <c r="K8" s="109"/>
    </row>
    <row r="9" spans="1:11" ht="13.5" customHeight="1" x14ac:dyDescent="0.3">
      <c r="A9" s="75">
        <f>+'(skema1-7_2017 - 17pl)'!A9</f>
        <v>1507</v>
      </c>
      <c r="B9" s="7" t="str">
        <f>+'(skema1-7_2017 - 17pl)'!B9</f>
        <v>Steno Diabetes Center Copenhagen</v>
      </c>
      <c r="C9" s="81">
        <f>IF(DRG_17!C9=0,"-",DRG_18!C9/DRG_17!C9*100-100)</f>
        <v>62.810584615730448</v>
      </c>
      <c r="D9" s="81">
        <f>IF(DRG_17!D9=0,"-",DRG_18!D9/DRG_17!D9*100-100)</f>
        <v>-50</v>
      </c>
      <c r="E9" s="81" t="str">
        <f>IF(DRG_18!E9=0,"-",DRG_18!E9/DRG_17!E9*100-100)</f>
        <v>-</v>
      </c>
      <c r="F9" s="29">
        <f>IF(DRG_17!G9=0,"-",DRG_18!G9/DRG_17!G9*100-100)</f>
        <v>62.844642688742908</v>
      </c>
      <c r="H9" s="106"/>
      <c r="I9" s="109"/>
      <c r="J9" s="109"/>
      <c r="K9" s="109"/>
    </row>
    <row r="10" spans="1:11" ht="13.5" customHeight="1" x14ac:dyDescent="0.3">
      <c r="A10" s="75">
        <f>+'(skema1-7_2017 - 17pl)'!A10</f>
        <v>2000</v>
      </c>
      <c r="B10" s="7" t="str">
        <f>+'(skema1-7_2017 - 17pl)'!B10</f>
        <v>Nordsjællands Hospital</v>
      </c>
      <c r="C10" s="81">
        <f>IF(DRG_17!C10=0,"-",DRG_18!C10/DRG_17!C10*100-100)</f>
        <v>3.645021618276246</v>
      </c>
      <c r="D10" s="81">
        <f>IF(DRG_17!D10=0,"-",DRG_18!D10/DRG_17!D10*100-100)</f>
        <v>40.600540509518282</v>
      </c>
      <c r="E10" s="81">
        <f>IF(DRG_18!E10=0,"-",DRG_18!E10/DRG_17!E10*100-100)</f>
        <v>-3.1970273987153064</v>
      </c>
      <c r="F10" s="29">
        <f>IF(DRG_17!G10=0,"-",DRG_18!G10/DRG_17!G10*100-100)</f>
        <v>4.3441675407267439</v>
      </c>
      <c r="H10" s="106"/>
      <c r="I10" s="109"/>
      <c r="J10" s="109"/>
      <c r="K10" s="109"/>
    </row>
    <row r="11" spans="1:11" ht="13.5" customHeight="1" x14ac:dyDescent="0.3">
      <c r="A11" s="75">
        <f>+'(skema1-7_2017 - 17pl)'!A11</f>
        <v>4001</v>
      </c>
      <c r="B11" s="7" t="str">
        <f>+'(skema1-7_2017 - 17pl)'!B11</f>
        <v>Bornholms Hospital</v>
      </c>
      <c r="C11" s="81">
        <f>IF(DRG_17!C11=0,"-",DRG_18!C11/DRG_17!C11*100-100)</f>
        <v>-0.44672018454041051</v>
      </c>
      <c r="D11" s="81">
        <f>IF(DRG_17!D11=0,"-",DRG_18!D11/DRG_17!D11*100-100)</f>
        <v>7.9522142674126002</v>
      </c>
      <c r="E11" s="81">
        <f>IF(DRG_18!E11=0,"-",DRG_18!E11/DRG_17!E11*100-100)</f>
        <v>1.4038724091923029</v>
      </c>
      <c r="F11" s="29">
        <f>IF(DRG_17!G11=0,"-",DRG_18!G11/DRG_17!G11*100-100)</f>
        <v>3.8399057544766322</v>
      </c>
      <c r="H11" s="106"/>
      <c r="I11" s="109"/>
      <c r="J11" s="109"/>
      <c r="K11" s="109"/>
    </row>
    <row r="12" spans="1:11" ht="13.5" customHeight="1" x14ac:dyDescent="0.3">
      <c r="A12" s="75">
        <f>+'(skema1-7_2017 - 17pl)'!A12</f>
        <v>3810</v>
      </c>
      <c r="B12" s="7" t="str">
        <f>+'(skema1-7_2017 - 17pl)'!B12</f>
        <v>Sjællands Universitetshospital</v>
      </c>
      <c r="C12" s="81">
        <f>IF(DRG_17!C12=0,"-",DRG_18!C12/DRG_17!C12*100-100)</f>
        <v>-3.742656063399636</v>
      </c>
      <c r="D12" s="81">
        <f>IF(DRG_17!D12=0,"-",DRG_18!D12/DRG_17!D12*100-100)</f>
        <v>0.54114746679584869</v>
      </c>
      <c r="E12" s="81">
        <f>IF(DRG_18!E12=0,"-",DRG_18!E12/DRG_17!E12*100-100)</f>
        <v>-26.529774416792606</v>
      </c>
      <c r="F12" s="29">
        <f>IF(DRG_17!G12=0,"-",DRG_18!G12/DRG_17!G12*100-100)</f>
        <v>1.5334486638537044</v>
      </c>
      <c r="H12" s="106"/>
      <c r="I12" s="109"/>
      <c r="J12" s="109"/>
      <c r="K12" s="109"/>
    </row>
    <row r="13" spans="1:11" ht="13.5" customHeight="1" x14ac:dyDescent="0.3">
      <c r="A13" s="75">
        <f>+'(skema1-7_2017 - 17pl)'!A13</f>
        <v>3820</v>
      </c>
      <c r="B13" s="7" t="str">
        <f>+'(skema1-7_2017 - 17pl)'!B13</f>
        <v>Holbæk Sygehus</v>
      </c>
      <c r="C13" s="81">
        <f>IF(DRG_17!C13=0,"-",DRG_18!C13/DRG_17!C13*100-100)</f>
        <v>-7.193881281197406</v>
      </c>
      <c r="D13" s="81">
        <f>IF(DRG_17!D13=0,"-",DRG_18!D13/DRG_17!D13*100-100)</f>
        <v>3.7887424005716355</v>
      </c>
      <c r="E13" s="81">
        <f>IF(DRG_18!E13=0,"-",DRG_18!E13/DRG_17!E13*100-100)</f>
        <v>-1.0438487396649805</v>
      </c>
      <c r="F13" s="29">
        <f>IF(DRG_17!G13=0,"-",DRG_18!G13/DRG_17!G13*100-100)</f>
        <v>-7.25610936805748</v>
      </c>
      <c r="H13" s="106"/>
      <c r="I13" s="109"/>
      <c r="J13" s="109"/>
      <c r="K13" s="109"/>
    </row>
    <row r="14" spans="1:11" ht="13.5" customHeight="1" x14ac:dyDescent="0.3">
      <c r="A14" s="75">
        <f>+'(skema1-7_2017 - 17pl)'!A14</f>
        <v>3830</v>
      </c>
      <c r="B14" s="7" t="str">
        <f>+'(skema1-7_2017 - 17pl)'!B14</f>
        <v>Næstved, Slagelse og Ringsted sygehuse</v>
      </c>
      <c r="C14" s="81">
        <f>IF(DRG_17!C14=0,"-",DRG_18!C14/DRG_17!C14*100-100)</f>
        <v>-11.879000763310259</v>
      </c>
      <c r="D14" s="81">
        <f>IF(DRG_17!D14=0,"-",DRG_18!D14/DRG_17!D14*100-100)</f>
        <v>-20.472154882344185</v>
      </c>
      <c r="E14" s="81">
        <f>IF(DRG_18!E14=0,"-",DRG_18!E14/DRG_17!E14*100-100)</f>
        <v>-18.800962705220712</v>
      </c>
      <c r="F14" s="29">
        <f>IF(DRG_17!G14=0,"-",DRG_18!G14/DRG_17!G14*100-100)</f>
        <v>8.3445531507792623</v>
      </c>
      <c r="H14" s="106"/>
      <c r="I14" s="109"/>
      <c r="J14" s="109"/>
      <c r="K14" s="109"/>
    </row>
    <row r="15" spans="1:11" ht="13.5" customHeight="1" x14ac:dyDescent="0.3">
      <c r="A15" s="75">
        <f>+'(skema1-7_2017 - 17pl)'!A15</f>
        <v>3840</v>
      </c>
      <c r="B15" s="7" t="str">
        <f>+'(skema1-7_2017 - 17pl)'!B15</f>
        <v>Nykøbing Sygehus</v>
      </c>
      <c r="C15" s="81">
        <f>IF(DRG_17!C15=0,"-",DRG_18!C15/DRG_17!C15*100-100)</f>
        <v>-21.79203334300972</v>
      </c>
      <c r="D15" s="81">
        <f>IF(DRG_17!D15=0,"-",DRG_18!D15/DRG_17!D15*100-100)</f>
        <v>214.21667000102434</v>
      </c>
      <c r="E15" s="81">
        <f>IF(DRG_18!E15=0,"-",DRG_18!E15/DRG_17!E15*100-100)</f>
        <v>9.4697811506005252</v>
      </c>
      <c r="F15" s="29">
        <f>IF(DRG_17!G15=0,"-",DRG_18!G15/DRG_17!G15*100-100)</f>
        <v>-2.7712417410188692</v>
      </c>
      <c r="H15" s="106"/>
      <c r="I15" s="109"/>
      <c r="J15" s="109"/>
      <c r="K15" s="109"/>
    </row>
    <row r="16" spans="1:11" ht="13.5" customHeight="1" x14ac:dyDescent="0.3">
      <c r="A16" s="75">
        <f>+'(skema1-7_2017 - 17pl)'!A16</f>
        <v>4202</v>
      </c>
      <c r="B16" s="7" t="str">
        <f>+'(skema1-7_2017 - 17pl)'!B16</f>
        <v>Odense Universitetshospital</v>
      </c>
      <c r="C16" s="81">
        <f>IF(DRG_17!C16=0,"-",DRG_18!C16/DRG_17!C16*100-100)</f>
        <v>3.2749986979673622</v>
      </c>
      <c r="D16" s="81">
        <f>IF(DRG_17!D16=0,"-",DRG_18!D16/DRG_17!D16*100-100)</f>
        <v>11.598876278447364</v>
      </c>
      <c r="E16" s="81">
        <f>IF(DRG_18!E16=0,"-",DRG_18!E16/DRG_17!E16*100-100)</f>
        <v>0.41018363976992589</v>
      </c>
      <c r="F16" s="29">
        <f>IF(DRG_17!G16=0,"-",DRG_18!G16/DRG_17!G16*100-100)</f>
        <v>2.649121695526091</v>
      </c>
      <c r="H16" s="106"/>
      <c r="I16" s="109"/>
      <c r="J16" s="109"/>
      <c r="K16" s="109"/>
    </row>
    <row r="17" spans="1:11" ht="13.5" customHeight="1" x14ac:dyDescent="0.3">
      <c r="A17" s="75">
        <f>+'(skema1-7_2017 - 17pl)'!A17</f>
        <v>5000</v>
      </c>
      <c r="B17" s="7" t="str">
        <f>+'(skema1-7_2017 - 17pl)'!B17</f>
        <v>Sygehus Sønderjylland</v>
      </c>
      <c r="C17" s="81">
        <f>IF(DRG_17!C17=0,"-",DRG_18!C17/DRG_17!C17*100-100)</f>
        <v>3.5316599956844783</v>
      </c>
      <c r="D17" s="81">
        <f>IF(DRG_17!D17=0,"-",DRG_18!D17/DRG_17!D17*100-100)</f>
        <v>7.1338366049437099</v>
      </c>
      <c r="E17" s="81">
        <f>IF(DRG_18!E17=0,"-",DRG_18!E17/DRG_17!E17*100-100)</f>
        <v>1.9766013880441875</v>
      </c>
      <c r="F17" s="29">
        <f>IF(DRG_17!G17=0,"-",DRG_18!G17/DRG_17!G17*100-100)</f>
        <v>3.400422338075586</v>
      </c>
      <c r="H17" s="106"/>
      <c r="I17" s="109"/>
      <c r="J17" s="109"/>
      <c r="K17" s="109"/>
    </row>
    <row r="18" spans="1:11" ht="13.5" customHeight="1" x14ac:dyDescent="0.3">
      <c r="A18" s="75">
        <f>+'(skema1-7_2017 - 17pl)'!A18</f>
        <v>5501</v>
      </c>
      <c r="B18" s="7" t="str">
        <f>+'(skema1-7_2017 - 17pl)'!B18</f>
        <v>Sydvestjysk Sygehus</v>
      </c>
      <c r="C18" s="81">
        <f>IF(DRG_17!C18=0,"-",DRG_18!C18/DRG_17!C18*100-100)</f>
        <v>2.8309364430760979</v>
      </c>
      <c r="D18" s="81">
        <f>IF(DRG_17!D18=0,"-",DRG_18!D18/DRG_17!D18*100-100)</f>
        <v>10.844744490951967</v>
      </c>
      <c r="E18" s="81">
        <f>IF(DRG_18!E18=0,"-",DRG_18!E18/DRG_17!E18*100-100)</f>
        <v>2.2396446357757753</v>
      </c>
      <c r="F18" s="29">
        <f>IF(DRG_17!G18=0,"-",DRG_18!G18/DRG_17!G18*100-100)</f>
        <v>2.5245257144809443</v>
      </c>
      <c r="H18" s="106"/>
      <c r="I18" s="109"/>
      <c r="J18" s="109"/>
      <c r="K18" s="109"/>
    </row>
    <row r="19" spans="1:11" ht="13.5" customHeight="1" x14ac:dyDescent="0.3">
      <c r="A19" s="75">
        <f>+'(skema1-7_2017 - 17pl)'!A19</f>
        <v>6007</v>
      </c>
      <c r="B19" s="7" t="str">
        <f>+'(skema1-7_2017 - 17pl)'!B19</f>
        <v>Fredericia og Kolding sygehuse</v>
      </c>
      <c r="C19" s="81">
        <f>IF(DRG_17!C19=0,"-",DRG_18!C19/DRG_17!C19*100-100)</f>
        <v>2.0239938451658901</v>
      </c>
      <c r="D19" s="81">
        <f>IF(DRG_17!D19=0,"-",DRG_18!D19/DRG_17!D19*100-100)</f>
        <v>-22.900062412131106</v>
      </c>
      <c r="E19" s="81">
        <f>IF(DRG_18!E19=0,"-",DRG_18!E19/DRG_17!E19*100-100)</f>
        <v>13.097905078130623</v>
      </c>
      <c r="F19" s="29">
        <f>IF(DRG_17!G19=0,"-",DRG_18!G19/DRG_17!G19*100-100)</f>
        <v>2.5597770030471736</v>
      </c>
      <c r="H19" s="106"/>
      <c r="I19" s="109"/>
      <c r="J19" s="109"/>
      <c r="K19" s="109"/>
    </row>
    <row r="20" spans="1:11" ht="13.5" customHeight="1" x14ac:dyDescent="0.3">
      <c r="A20" s="75">
        <f>+'(skema1-7_2017 - 17pl)'!A20</f>
        <v>6008</v>
      </c>
      <c r="B20" s="7" t="str">
        <f>+'(skema1-7_2017 - 17pl)'!B20</f>
        <v>Vejle-Give-Middelfart sygehuse</v>
      </c>
      <c r="C20" s="81">
        <f>IF(DRG_17!C20=0,"-",DRG_18!C20/DRG_17!C20*100-100)</f>
        <v>3.7523563419828321</v>
      </c>
      <c r="D20" s="81">
        <f>IF(DRG_17!D20=0,"-",DRG_18!D20/DRG_17!D20*100-100)</f>
        <v>15.787941603108678</v>
      </c>
      <c r="E20" s="81">
        <f>IF(DRG_18!E20=0,"-",DRG_18!E20/DRG_17!E20*100-100)</f>
        <v>53.997790022594273</v>
      </c>
      <c r="F20" s="29">
        <f>IF(DRG_17!G20=0,"-",DRG_18!G20/DRG_17!G20*100-100)</f>
        <v>2.307830251592577</v>
      </c>
      <c r="H20" s="106"/>
      <c r="I20" s="109"/>
      <c r="J20" s="109"/>
      <c r="K20" s="109"/>
    </row>
    <row r="21" spans="1:11" ht="13.5" customHeight="1" x14ac:dyDescent="0.3">
      <c r="A21" s="75">
        <f>+'(skema1-7_2017 - 17pl)'!A21</f>
        <v>6013</v>
      </c>
      <c r="B21" s="7" t="str">
        <f>+'(skema1-7_2017 - 17pl)'!B21</f>
        <v>De Vestdanske Friklinikker, Give</v>
      </c>
      <c r="C21" s="81">
        <f>IF(DRG_17!C21=0,"-",DRG_18!C21/DRG_17!C21*100-100)</f>
        <v>-14.450610586102613</v>
      </c>
      <c r="D21" s="81">
        <f>IF(DRG_17!D21=0,"-",DRG_18!D21/DRG_17!D21*100-100)</f>
        <v>5.2173913043478137</v>
      </c>
      <c r="E21" s="81">
        <f>IF(DRG_18!E21=0,"-",DRG_18!E21/DRG_17!E21*100-100)</f>
        <v>-18.438394338499862</v>
      </c>
      <c r="F21" s="29">
        <f>IF(DRG_17!G21=0,"-",DRG_18!G21/DRG_17!G21*100-100)</f>
        <v>-14.490941588372607</v>
      </c>
      <c r="H21" s="106"/>
      <c r="I21" s="109"/>
      <c r="J21" s="109"/>
      <c r="K21" s="109"/>
    </row>
    <row r="22" spans="1:11" ht="13.5" customHeight="1" x14ac:dyDescent="0.3">
      <c r="A22" s="75">
        <f>+'(skema1-7_2017 - 17pl)'!A22</f>
        <v>6006</v>
      </c>
      <c r="B22" s="7" t="str">
        <f>+'(skema1-7_2017 - 17pl)'!B22</f>
        <v>Hospitalenheden Horsens</v>
      </c>
      <c r="C22" s="81">
        <f>IF(DRG_17!C22=0,"-",DRG_18!C22/DRG_17!C22*100-100)</f>
        <v>3.8433176703740628</v>
      </c>
      <c r="D22" s="81">
        <f>IF(DRG_17!D22=0,"-",DRG_18!D22/DRG_17!D22*100-100)</f>
        <v>20.478238214802815</v>
      </c>
      <c r="E22" s="81">
        <f>IF(DRG_18!E22=0,"-",DRG_18!E22/DRG_17!E22*100-100)</f>
        <v>3.389493722491622</v>
      </c>
      <c r="F22" s="29">
        <f>IF(DRG_17!G22=0,"-",DRG_18!G22/DRG_17!G22*100-100)</f>
        <v>3.5927768238307181</v>
      </c>
      <c r="H22" s="106"/>
      <c r="I22" s="109"/>
      <c r="J22" s="109"/>
      <c r="K22" s="109"/>
    </row>
    <row r="23" spans="1:11" ht="13.5" customHeight="1" x14ac:dyDescent="0.3">
      <c r="A23" s="75">
        <f>+'(skema1-7_2017 - 17pl)'!A23</f>
        <v>6650</v>
      </c>
      <c r="B23" s="7" t="str">
        <f>+'(skema1-7_2017 - 17pl)'!B23</f>
        <v>Hospitalsenheden Vest</v>
      </c>
      <c r="C23" s="81">
        <f>IF(DRG_17!C23=0,"-",DRG_18!C23/DRG_17!C23*100-100)</f>
        <v>2.2843845602169068</v>
      </c>
      <c r="D23" s="81">
        <f>IF(DRG_17!D23=0,"-",DRG_18!D23/DRG_17!D23*100-100)</f>
        <v>8.2672081212667621</v>
      </c>
      <c r="E23" s="81">
        <f>IF(DRG_18!E23=0,"-",DRG_18!E23/DRG_17!E23*100-100)</f>
        <v>0.40541408613007945</v>
      </c>
      <c r="F23" s="29">
        <f>IF(DRG_17!G23=0,"-",DRG_18!G23/DRG_17!G23*100-100)</f>
        <v>2.3146359956089526</v>
      </c>
      <c r="H23" s="106"/>
      <c r="I23" s="109"/>
      <c r="J23" s="109"/>
      <c r="K23" s="109"/>
    </row>
    <row r="24" spans="1:11" ht="13.5" customHeight="1" x14ac:dyDescent="0.3">
      <c r="A24" s="75">
        <f>+'(skema1-7_2017 - 17pl)'!A24</f>
        <v>6620</v>
      </c>
      <c r="B24" s="7" t="str">
        <f>+'(skema1-7_2017 - 17pl)'!B24</f>
        <v>Aarhus Universitetshospital</v>
      </c>
      <c r="C24" s="81">
        <f>IF(DRG_17!C24=0,"-",DRG_18!C24/DRG_17!C24*100-100)</f>
        <v>-2.7072935686937285</v>
      </c>
      <c r="D24" s="81">
        <f>IF(DRG_17!D24=0,"-",DRG_18!D24/DRG_17!D24*100-100)</f>
        <v>4.6998821954745011</v>
      </c>
      <c r="E24" s="81">
        <f>IF(DRG_18!E24=0,"-",DRG_18!E24/DRG_17!E24*100-100)</f>
        <v>-7.3406915505855608</v>
      </c>
      <c r="F24" s="29">
        <f>IF(DRG_17!G24=0,"-",DRG_18!G24/DRG_17!G24*100-100)</f>
        <v>-0.96046360053165358</v>
      </c>
      <c r="H24" s="106"/>
      <c r="I24" s="109"/>
      <c r="J24" s="109"/>
      <c r="K24" s="109"/>
    </row>
    <row r="25" spans="1:11" ht="13.5" customHeight="1" x14ac:dyDescent="0.3">
      <c r="A25" s="75">
        <f>+'(skema1-7_2017 - 17pl)'!A25</f>
        <v>7005</v>
      </c>
      <c r="B25" s="7" t="str">
        <f>+'(skema1-7_2017 - 17pl)'!B25</f>
        <v>Regionshospitalet Randers</v>
      </c>
      <c r="C25" s="81">
        <f>IF(DRG_17!C25=0,"-",DRG_18!C25/DRG_17!C25*100-100)</f>
        <v>3.0220090398053685</v>
      </c>
      <c r="D25" s="81">
        <f>IF(DRG_17!D25=0,"-",DRG_18!D25/DRG_17!D25*100-100)</f>
        <v>41.258796225807771</v>
      </c>
      <c r="E25" s="81">
        <f>IF(DRG_18!E25=0,"-",DRG_18!E25/DRG_17!E25*100-100)</f>
        <v>0.81137468426453552</v>
      </c>
      <c r="F25" s="29">
        <f>IF(DRG_17!G25=0,"-",DRG_18!G25/DRG_17!G25*100-100)</f>
        <v>2.9885283103849645</v>
      </c>
      <c r="H25" s="106"/>
      <c r="I25" s="109"/>
      <c r="J25" s="109"/>
      <c r="K25" s="109"/>
    </row>
    <row r="26" spans="1:11" ht="13.5" customHeight="1" x14ac:dyDescent="0.3">
      <c r="A26" s="75">
        <f>+'(skema1-7_2017 - 17pl)'!A26</f>
        <v>6630</v>
      </c>
      <c r="B26" s="7" t="str">
        <f>+'(skema1-7_2017 - 17pl)'!B26</f>
        <v>Hospitalsenhed Midt</v>
      </c>
      <c r="C26" s="81">
        <f>IF(DRG_17!C26=0,"-",DRG_18!C26/DRG_17!C26*100-100)</f>
        <v>-1.0099934633809227</v>
      </c>
      <c r="D26" s="81">
        <f>IF(DRG_17!D26=0,"-",DRG_18!D26/DRG_17!D26*100-100)</f>
        <v>11.820237227689105</v>
      </c>
      <c r="E26" s="81">
        <f>IF(DRG_18!E26=0,"-",DRG_18!E26/DRG_17!E26*100-100)</f>
        <v>-3.1786340691721193</v>
      </c>
      <c r="F26" s="29">
        <f>IF(DRG_17!G26=0,"-",DRG_18!G26/DRG_17!G26*100-100)</f>
        <v>0.1479011105087551</v>
      </c>
      <c r="H26" s="106"/>
      <c r="I26" s="109"/>
      <c r="J26" s="109"/>
      <c r="K26" s="109"/>
    </row>
    <row r="27" spans="1:11" ht="13.5" customHeight="1" x14ac:dyDescent="0.3">
      <c r="A27" s="75">
        <f>+'(skema1-7_2017 - 17pl)'!A27</f>
        <v>8001</v>
      </c>
      <c r="B27" s="7" t="str">
        <f>+'(skema1-7_2017 - 17pl)'!B27</f>
        <v>Aalborg Universitetshospital</v>
      </c>
      <c r="C27" s="81">
        <f>IF(DRG_17!C27=0,"-",DRG_18!C27/DRG_17!C27*100-100)</f>
        <v>10.572488902599503</v>
      </c>
      <c r="D27" s="81">
        <f>IF(DRG_17!D27=0,"-",DRG_18!D27/DRG_17!D27*100-100)</f>
        <v>22.437160372935395</v>
      </c>
      <c r="E27" s="81">
        <f>IF(DRG_18!E27=0,"-",DRG_18!E27/DRG_17!E27*100-100)</f>
        <v>476.12920498121753</v>
      </c>
      <c r="F27" s="29">
        <f>IF(DRG_17!G27=0,"-",DRG_18!G27/DRG_17!G27*100-100)</f>
        <v>8.9632138468033133</v>
      </c>
      <c r="H27" s="106"/>
      <c r="I27" s="109"/>
      <c r="J27" s="109"/>
      <c r="K27" s="109"/>
    </row>
    <row r="28" spans="1:11" ht="13.5" customHeight="1" x14ac:dyDescent="0.3">
      <c r="A28" s="75">
        <f>+'(skema1-7_2017 - 17pl)'!A28</f>
        <v>8003</v>
      </c>
      <c r="B28" s="7" t="str">
        <f>+'(skema1-7_2017 - 17pl)'!B28</f>
        <v>Regionshospitalet Nordjylland</v>
      </c>
      <c r="C28" s="81">
        <f>IF(DRG_17!C28=0,"-",DRG_18!C28/DRG_17!C28*100-100)</f>
        <v>-22.610064383449611</v>
      </c>
      <c r="D28" s="81">
        <f>IF(DRG_17!D28=0,"-",DRG_18!D28/DRG_17!D28*100-100)</f>
        <v>-5.2624591258171449</v>
      </c>
      <c r="E28" s="81">
        <f>IF(DRG_18!E28=0,"-",DRG_18!E28/DRG_17!E28*100-100)</f>
        <v>-83.829926260535444</v>
      </c>
      <c r="F28" s="29">
        <f>IF(DRG_17!G28=0,"-",DRG_18!G28/DRG_17!G28*100-100)</f>
        <v>-23.292680808648996</v>
      </c>
      <c r="H28" s="106"/>
      <c r="I28" s="109"/>
      <c r="J28" s="109"/>
      <c r="K28" s="109"/>
    </row>
    <row r="29" spans="1:11" ht="13.5" customHeight="1" x14ac:dyDescent="0.25">
      <c r="A29" s="13"/>
      <c r="B29" s="13" t="s">
        <v>14</v>
      </c>
      <c r="C29" s="83">
        <f>IF(DRG_17!C29=0,"-",DRG_18!C29/DRG_17!C29*100-100)</f>
        <v>-0.60550716910358915</v>
      </c>
      <c r="D29" s="83">
        <f>IF(DRG_17!D29=0,"-",DRG_18!D29/DRG_17!D29*100-100)</f>
        <v>8.633563939628857</v>
      </c>
      <c r="E29" s="83"/>
      <c r="F29" s="14">
        <f>IF(DRG_17!G29=0,"-",DRG_18!G29/DRG_17!G29*100-100)</f>
        <v>2.0769525117390515</v>
      </c>
      <c r="G29" s="107"/>
      <c r="H29" s="107"/>
      <c r="I29" s="107"/>
    </row>
    <row r="30" spans="1:11" ht="13.5" customHeight="1" x14ac:dyDescent="0.25">
      <c r="A30" s="37"/>
      <c r="B30" s="15"/>
      <c r="C30" s="16"/>
      <c r="D30" s="16"/>
      <c r="E30" s="16"/>
      <c r="F30" s="16"/>
      <c r="G30" s="107"/>
      <c r="H30" s="107"/>
      <c r="I30" s="107"/>
    </row>
    <row r="31" spans="1:11" ht="13.5" customHeight="1" x14ac:dyDescent="0.25">
      <c r="A31" s="37"/>
      <c r="B31" s="17" t="s">
        <v>26</v>
      </c>
      <c r="C31" s="18">
        <f>IF(DRG_17!C31=0,"-",DRG_18!C31/DRG_17!C31*100-100)</f>
        <v>-1.0606889290803849</v>
      </c>
      <c r="D31" s="18">
        <f>IF(DRG_17!D31=0,"-",DRG_18!D31/DRG_17!D31*100-100)</f>
        <v>9.169903478434918</v>
      </c>
      <c r="E31" s="18">
        <f>IF(DRG_17!E31=0,"-",DRG_18!E31/DRG_17!E31*100-100)</f>
        <v>-9.449449814856365</v>
      </c>
      <c r="F31" s="6">
        <f>IF(DRG_17!G31=0,"-",DRG_18!G31/DRG_17!G31*100-100)</f>
        <v>3.3466482937602962</v>
      </c>
      <c r="G31" s="107"/>
      <c r="H31" s="47"/>
      <c r="I31" s="107"/>
    </row>
    <row r="32" spans="1:11" ht="13.5" customHeight="1" x14ac:dyDescent="0.25">
      <c r="A32" s="37"/>
      <c r="B32" s="19" t="s">
        <v>27</v>
      </c>
      <c r="C32" s="5">
        <f>IF(DRG_17!C32=0,"-",DRG_18!C32/DRG_17!C32*100-100)</f>
        <v>-8.2951943610856773</v>
      </c>
      <c r="D32" s="5">
        <f>IF(DRG_17!D32=0,"-",DRG_18!D32/DRG_17!D32*100-100)</f>
        <v>1.4150591556193035</v>
      </c>
      <c r="E32" s="5">
        <f>IF(DRG_17!E32=0,"-",DRG_18!E32/DRG_17!E32*100-100)</f>
        <v>-15.300144322014447</v>
      </c>
      <c r="F32" s="8">
        <f>IF(DRG_17!G32=0,"-",DRG_18!G32/DRG_17!G32*100-100)</f>
        <v>1.0838640077795816</v>
      </c>
      <c r="G32" s="107"/>
      <c r="H32" s="47"/>
      <c r="I32" s="107"/>
    </row>
    <row r="33" spans="1:9" ht="13.5" customHeight="1" x14ac:dyDescent="0.25">
      <c r="A33" s="37"/>
      <c r="B33" s="19" t="s">
        <v>28</v>
      </c>
      <c r="C33" s="5">
        <f>IF(DRG_17!C33=0,"-",DRG_18!C33/DRG_17!C33*100-100)</f>
        <v>3.0551088783743694</v>
      </c>
      <c r="D33" s="5">
        <f>IF(DRG_17!D33=0,"-",DRG_18!D33/DRG_17!D33*100-100)</f>
        <v>10.755427807299498</v>
      </c>
      <c r="E33" s="5">
        <f>IF(DRG_17!E33=0,"-",DRG_18!E33/DRG_17!E33*100-100)</f>
        <v>15.895729830901658</v>
      </c>
      <c r="F33" s="8">
        <f>IF(DRG_17!G33=0,"-",DRG_18!G33/DRG_17!G33*100-100)</f>
        <v>2.5463236448687496</v>
      </c>
      <c r="G33" s="107"/>
      <c r="H33" s="47"/>
      <c r="I33" s="107"/>
    </row>
    <row r="34" spans="1:9" ht="13.5" customHeight="1" x14ac:dyDescent="0.25">
      <c r="A34" s="37"/>
      <c r="B34" s="19" t="s">
        <v>29</v>
      </c>
      <c r="C34" s="5">
        <f>IF(DRG_17!C34=0,"-",DRG_18!C34/DRG_17!C34*100-100)</f>
        <v>-0.48066258746177937</v>
      </c>
      <c r="D34" s="5">
        <f>IF(DRG_17!D34=0,"-",DRG_18!D34/DRG_17!D34*100-100)</f>
        <v>6.658631409690301</v>
      </c>
      <c r="E34" s="5">
        <f>IF(DRG_17!E34=0,"-",DRG_18!E34/DRG_17!E34*100-100)</f>
        <v>-3.6685238923946173</v>
      </c>
      <c r="F34" s="8">
        <f>IF(DRG_17!G34=0,"-",DRG_18!G34/DRG_17!G34*100-100)</f>
        <v>0.59903139079753487</v>
      </c>
      <c r="G34" s="107"/>
      <c r="H34" s="47"/>
      <c r="I34" s="107"/>
    </row>
    <row r="35" spans="1:9" ht="13.5" customHeight="1" x14ac:dyDescent="0.25">
      <c r="A35" s="38"/>
      <c r="B35" s="20" t="s">
        <v>30</v>
      </c>
      <c r="C35" s="10">
        <f>IF(DRG_17!C35=0,"-",DRG_18!C35/DRG_17!C35*100-100)</f>
        <v>2.5026406345159558</v>
      </c>
      <c r="D35" s="10">
        <f>IF(DRG_17!D35=0,"-",DRG_18!D35/DRG_17!D35*100-100)</f>
        <v>16.938463926407252</v>
      </c>
      <c r="E35" s="10">
        <f>IF(DRG_17!E35=0,"-",DRG_18!E35/DRG_17!E35*100-100)</f>
        <v>124.39696978369906</v>
      </c>
      <c r="F35" s="21">
        <f>IF(DRG_17!G35=0,"-",DRG_18!G35/DRG_17!G35*100-100)</f>
        <v>1.038393038945145</v>
      </c>
      <c r="G35" s="107"/>
      <c r="H35" s="47"/>
      <c r="I35" s="107"/>
    </row>
    <row r="36" spans="1:9" ht="13.5" customHeight="1" x14ac:dyDescent="0.25">
      <c r="A36" s="38"/>
      <c r="B36" s="13" t="s">
        <v>14</v>
      </c>
      <c r="C36" s="22">
        <f>IF(DRG_17!C36=0,"-",DRG_18!C36/DRG_17!C36*100-100)</f>
        <v>-0.60550716910357494</v>
      </c>
      <c r="D36" s="22">
        <f>IF(DRG_17!D36=0,"-",DRG_18!D36/DRG_17!D36*100-100)</f>
        <v>8.6335639396288144</v>
      </c>
      <c r="E36" s="87">
        <f>IF(DRG_17!E36=0,"-",DRG_18!E36/DRG_17!E36*100-100)</f>
        <v>-100</v>
      </c>
      <c r="F36" s="23">
        <f>IF(DRG_17!G36=0,"-",DRG_18!G36/DRG_17!G36*100-100)</f>
        <v>2.0769525117390231</v>
      </c>
      <c r="G36" s="107"/>
      <c r="H36" s="107"/>
      <c r="I36" s="107"/>
    </row>
    <row r="37" spans="1:9" ht="13.5" customHeight="1" x14ac:dyDescent="0.25">
      <c r="G37" s="107"/>
      <c r="H37" s="107"/>
      <c r="I37" s="107"/>
    </row>
    <row r="38" spans="1:9" ht="13.5" customHeight="1" x14ac:dyDescent="0.25">
      <c r="G38" s="107"/>
      <c r="H38" s="107"/>
      <c r="I38" s="107"/>
    </row>
    <row r="39" spans="1:9" ht="13.5" customHeight="1" x14ac:dyDescent="0.25"/>
    <row r="40" spans="1:9" ht="13.5" customHeight="1" x14ac:dyDescent="0.25"/>
    <row r="41" spans="1:9" ht="13.5" customHeight="1" x14ac:dyDescent="0.25"/>
    <row r="42" spans="1:9" ht="13.5" customHeight="1" x14ac:dyDescent="0.25"/>
    <row r="43" spans="1:9" ht="13.5" customHeight="1" x14ac:dyDescent="0.25"/>
    <row r="44" spans="1:9" ht="13.5" customHeight="1" x14ac:dyDescent="0.25"/>
  </sheetData>
  <pageMargins left="0.51181102362204722" right="0.43307086614173229" top="0.51181102362204722" bottom="0.19685039370078741" header="0.23622047244094491" footer="0.23622047244094491"/>
  <pageSetup paperSize="9" scale="82" orientation="landscape" r:id="rId1"/>
  <headerFooter alignWithMargins="0">
    <oddHeader>&amp;CSide &amp;P /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zoomScaleNormal="100" workbookViewId="0"/>
  </sheetViews>
  <sheetFormatPr defaultColWidth="8.81640625" defaultRowHeight="11.5" x14ac:dyDescent="0.25"/>
  <cols>
    <col min="1" max="1" width="8.54296875" style="139" customWidth="1"/>
    <col min="2" max="2" width="39.26953125" style="104" customWidth="1"/>
    <col min="3" max="8" width="10" style="104" customWidth="1"/>
    <col min="9" max="9" width="11.453125" style="126" customWidth="1"/>
    <col min="10" max="11" width="9.453125" style="104" customWidth="1"/>
    <col min="12" max="12" width="8.81640625" style="104"/>
    <col min="13" max="13" width="8.81640625" style="126"/>
    <col min="14" max="14" width="10.1796875" style="104" bestFit="1" customWidth="1"/>
    <col min="15" max="15" width="8.81640625" style="104"/>
    <col min="16" max="17" width="8.81640625" style="191"/>
    <col min="18" max="16384" width="8.81640625" style="104"/>
  </cols>
  <sheetData>
    <row r="1" spans="1:16" ht="15.5" x14ac:dyDescent="0.35">
      <c r="A1" s="72" t="str">
        <f>'Skema1-7_2017'!A1</f>
        <v>Offentliggjort 9. marts 2021</v>
      </c>
    </row>
    <row r="2" spans="1:16" ht="13.5" customHeight="1" x14ac:dyDescent="0.3">
      <c r="A2" s="110" t="s">
        <v>93</v>
      </c>
    </row>
    <row r="3" spans="1:16" ht="13.5" customHeight="1" x14ac:dyDescent="0.3">
      <c r="A3" s="90" t="s">
        <v>39</v>
      </c>
    </row>
    <row r="4" spans="1:16" ht="33.75" customHeight="1" x14ac:dyDescent="0.25">
      <c r="A4" s="111"/>
      <c r="B4" s="112"/>
      <c r="C4" s="212" t="s">
        <v>17</v>
      </c>
      <c r="D4" s="213"/>
      <c r="E4" s="212" t="s">
        <v>40</v>
      </c>
      <c r="F4" s="213"/>
      <c r="G4" s="211" t="s">
        <v>94</v>
      </c>
      <c r="H4" s="211"/>
      <c r="I4" s="211"/>
      <c r="J4" s="113" t="s">
        <v>20</v>
      </c>
      <c r="K4" s="192"/>
      <c r="M4" s="189"/>
      <c r="N4" s="190"/>
    </row>
    <row r="5" spans="1:16" ht="24" customHeight="1" x14ac:dyDescent="0.25">
      <c r="A5" s="114" t="s">
        <v>6</v>
      </c>
      <c r="B5" s="115" t="s">
        <v>0</v>
      </c>
      <c r="C5" s="143">
        <v>2017</v>
      </c>
      <c r="D5" s="142">
        <v>2018</v>
      </c>
      <c r="E5" s="146">
        <v>2017</v>
      </c>
      <c r="F5" s="142">
        <v>2018</v>
      </c>
      <c r="G5" s="117" t="s">
        <v>25</v>
      </c>
      <c r="H5" s="118" t="s">
        <v>18</v>
      </c>
      <c r="I5" s="180" t="s">
        <v>19</v>
      </c>
      <c r="J5" s="119">
        <v>2018</v>
      </c>
      <c r="K5" s="193"/>
    </row>
    <row r="6" spans="1:16" ht="13.5" customHeight="1" x14ac:dyDescent="0.25">
      <c r="A6" s="4">
        <f>+'(skema1-7_2017 - 17pl)'!A5</f>
        <v>1301</v>
      </c>
      <c r="B6" s="4" t="str">
        <f>+'(skema1-7_2017 - 17pl)'!B5</f>
        <v>Rigshospitalet</v>
      </c>
      <c r="C6" s="120">
        <f>DRG_17!G5/1000</f>
        <v>7595.2065500749459</v>
      </c>
      <c r="D6" s="144">
        <f>DRG_18!G5/1000</f>
        <v>7956.9823058287629</v>
      </c>
      <c r="E6" s="121">
        <f>DTD_17!G5/1000</f>
        <v>7556.7818863915381</v>
      </c>
      <c r="F6" s="147">
        <f>(DTD_18!G5/1000)</f>
        <v>7433.4225096566879</v>
      </c>
      <c r="G6" s="122">
        <f>(D6/C6-1)*100</f>
        <v>4.7632115515047646</v>
      </c>
      <c r="H6" s="123">
        <f>(F6/E6-1)*100</f>
        <v>-1.6324326755678742</v>
      </c>
      <c r="I6" s="124">
        <f>((D6/C6)/(F6/E6)-1)*100</f>
        <v>6.5017814316570055</v>
      </c>
      <c r="J6" s="196">
        <f t="shared" ref="J6:J30" si="0">(D6/F6)/($D$30/$F$30)*100</f>
        <v>98.255273551927814</v>
      </c>
      <c r="K6" s="194"/>
      <c r="L6" s="129"/>
      <c r="N6" s="126"/>
      <c r="O6" s="129"/>
      <c r="P6" s="129"/>
    </row>
    <row r="7" spans="1:16" ht="13.5" customHeight="1" x14ac:dyDescent="0.25">
      <c r="A7" s="7">
        <f>+'(skema1-7_2017 - 17pl)'!A6</f>
        <v>1309</v>
      </c>
      <c r="B7" s="7" t="str">
        <f>+'(skema1-7_2017 - 17pl)'!B6</f>
        <v>Bispebjerg og Frederiksberg Hospital</v>
      </c>
      <c r="C7" s="120">
        <f>DRG_17!G6/1000</f>
        <v>2261.8302399675645</v>
      </c>
      <c r="D7" s="144">
        <f>DRG_18!G6/1000</f>
        <v>2294.0049990889302</v>
      </c>
      <c r="E7" s="127">
        <f>DTD_17!G6/1000</f>
        <v>2239.8295297518016</v>
      </c>
      <c r="F7" s="144">
        <f>DTD_18!G6/1000</f>
        <v>2213.5962430465547</v>
      </c>
      <c r="G7" s="128">
        <f t="shared" ref="G7:G29" si="1">(D7/C7-1)*100</f>
        <v>1.4225099016196285</v>
      </c>
      <c r="H7" s="129">
        <f t="shared" ref="H7:H29" si="2">(F7/E7-1)*100</f>
        <v>-1.1712180037270037</v>
      </c>
      <c r="I7" s="130">
        <f t="shared" ref="I7:I29" si="3">((D7/C7)/(F7/E7)-1)*100</f>
        <v>2.6244661251055845</v>
      </c>
      <c r="J7" s="196">
        <f t="shared" si="0"/>
        <v>95.124469152553473</v>
      </c>
      <c r="K7" s="194"/>
      <c r="L7" s="129"/>
      <c r="N7" s="126"/>
      <c r="O7" s="129"/>
      <c r="P7" s="129"/>
    </row>
    <row r="8" spans="1:16" ht="13.5" customHeight="1" x14ac:dyDescent="0.25">
      <c r="A8" s="7">
        <f>+'(skema1-7_2017 - 17pl)'!A7</f>
        <v>1330</v>
      </c>
      <c r="B8" s="7" t="str">
        <f>+'(skema1-7_2017 - 17pl)'!B7</f>
        <v>Amager og Hvidovre Hospital</v>
      </c>
      <c r="C8" s="120">
        <f>DRG_17!G7/1000</f>
        <v>2843.6855510876376</v>
      </c>
      <c r="D8" s="144">
        <f>DRG_18!G7/1000</f>
        <v>2944.7213684795865</v>
      </c>
      <c r="E8" s="127">
        <f>DTD_17!G7/1000</f>
        <v>2862.2167281449488</v>
      </c>
      <c r="F8" s="144">
        <f>DTD_18!G7/1000</f>
        <v>2828.6226669364919</v>
      </c>
      <c r="G8" s="128">
        <f t="shared" si="1"/>
        <v>3.5529883869651169</v>
      </c>
      <c r="H8" s="129">
        <f t="shared" si="2"/>
        <v>-1.1737078075925389</v>
      </c>
      <c r="I8" s="130">
        <f t="shared" si="3"/>
        <v>4.7828326750892547</v>
      </c>
      <c r="J8" s="196">
        <f t="shared" si="0"/>
        <v>95.557655502686728</v>
      </c>
      <c r="K8" s="194"/>
      <c r="L8" s="129"/>
      <c r="N8" s="126"/>
      <c r="O8" s="129"/>
      <c r="P8" s="129"/>
    </row>
    <row r="9" spans="1:16" ht="13.5" customHeight="1" x14ac:dyDescent="0.25">
      <c r="A9" s="7">
        <f>+'(skema1-7_2017 - 17pl)'!A8</f>
        <v>1516</v>
      </c>
      <c r="B9" s="7" t="str">
        <f>+'(skema1-7_2017 - 17pl)'!B8</f>
        <v>Herlev og Gentofte Hospital</v>
      </c>
      <c r="C9" s="120">
        <f>DRG_17!G8/1000</f>
        <v>5126.3427587817405</v>
      </c>
      <c r="D9" s="144">
        <f>DRG_18!G8/1000</f>
        <v>5172.7429706769581</v>
      </c>
      <c r="E9" s="127">
        <f>DTD_17!G8/1000</f>
        <v>4574.7768500240081</v>
      </c>
      <c r="F9" s="144">
        <f>DTD_18!G8/1000</f>
        <v>4530.3811594558956</v>
      </c>
      <c r="G9" s="128">
        <f t="shared" si="1"/>
        <v>0.90513284184385867</v>
      </c>
      <c r="H9" s="129">
        <f t="shared" si="2"/>
        <v>-0.97044494242116697</v>
      </c>
      <c r="I9" s="130">
        <f t="shared" si="3"/>
        <v>1.89395760000588</v>
      </c>
      <c r="J9" s="196">
        <f t="shared" si="0"/>
        <v>104.80510850507032</v>
      </c>
      <c r="K9" s="194"/>
      <c r="L9" s="126"/>
      <c r="N9" s="126"/>
      <c r="O9" s="129"/>
      <c r="P9" s="129"/>
    </row>
    <row r="10" spans="1:16" ht="13.5" customHeight="1" x14ac:dyDescent="0.25">
      <c r="A10" s="7">
        <f>+'(skema1-7_2017 - 17pl)'!A9</f>
        <v>1507</v>
      </c>
      <c r="B10" s="7" t="str">
        <f>+'(skema1-7_2017 - 17pl)'!B9</f>
        <v>Steno Diabetes Center Copenhagen</v>
      </c>
      <c r="C10" s="120">
        <f>DRG_17!G9/1000</f>
        <v>48.386091</v>
      </c>
      <c r="D10" s="144">
        <f>DRG_18!G9/1000</f>
        <v>78.794156999999998</v>
      </c>
      <c r="E10" s="127">
        <f>DTD_17!G9/1000</f>
        <v>72.97748728827456</v>
      </c>
      <c r="F10" s="144">
        <f>DTD_18!G9/1000</f>
        <v>102.19991842574618</v>
      </c>
      <c r="G10" s="128">
        <f t="shared" ref="G10" si="4">(D10/C10-1)*100</f>
        <v>62.844642688742923</v>
      </c>
      <c r="H10" s="129">
        <f t="shared" ref="H10" si="5">(F10/E10-1)*100</f>
        <v>40.043076602565961</v>
      </c>
      <c r="I10" s="130">
        <f t="shared" ref="I10" si="6">((D10/C10)/(F10/E10)-1)*100</f>
        <v>16.281823164230012</v>
      </c>
      <c r="J10" s="196">
        <f t="shared" ref="J10" si="7">(D10/F10)/($D$30/$F$30)*100</f>
        <v>70.768462375928493</v>
      </c>
      <c r="K10" s="194"/>
      <c r="L10" s="126"/>
      <c r="N10" s="126"/>
      <c r="O10" s="129"/>
      <c r="P10" s="129"/>
    </row>
    <row r="11" spans="1:16" ht="13.5" customHeight="1" x14ac:dyDescent="0.25">
      <c r="A11" s="7">
        <f>+'(skema1-7_2017 - 17pl)'!A10</f>
        <v>2000</v>
      </c>
      <c r="B11" s="7" t="str">
        <f>+'(skema1-7_2017 - 17pl)'!B10</f>
        <v>Nordsjællands Hospital</v>
      </c>
      <c r="C11" s="120">
        <f>DRG_17!G10/1000</f>
        <v>2483.1237237837886</v>
      </c>
      <c r="D11" s="144">
        <f>DRG_18!G10/1000</f>
        <v>2590.9947785884897</v>
      </c>
      <c r="E11" s="127">
        <f>DTD_17!G10/1000</f>
        <v>2361.2392503066771</v>
      </c>
      <c r="F11" s="144">
        <f>DTD_18!G10/1000</f>
        <v>2378.5787259414833</v>
      </c>
      <c r="G11" s="128">
        <f t="shared" si="1"/>
        <v>4.3441675407267732</v>
      </c>
      <c r="H11" s="129">
        <f t="shared" si="2"/>
        <v>0.7343379385445159</v>
      </c>
      <c r="I11" s="130">
        <f t="shared" si="3"/>
        <v>3.5835144957070408</v>
      </c>
      <c r="J11" s="196">
        <f t="shared" si="0"/>
        <v>99.987406298934502</v>
      </c>
      <c r="K11" s="194"/>
      <c r="L11" s="126"/>
      <c r="N11" s="126"/>
      <c r="O11" s="129"/>
      <c r="P11" s="129"/>
    </row>
    <row r="12" spans="1:16" ht="13.5" customHeight="1" x14ac:dyDescent="0.25">
      <c r="A12" s="7">
        <f>+'(skema1-7_2017 - 17pl)'!A11</f>
        <v>4001</v>
      </c>
      <c r="B12" s="7" t="str">
        <f>+'(skema1-7_2017 - 17pl)'!B11</f>
        <v>Bornholms Hospital</v>
      </c>
      <c r="C12" s="120">
        <f>DRG_17!G11/1000</f>
        <v>337.39683270176477</v>
      </c>
      <c r="D12" s="144">
        <f>DRG_18!G11/1000</f>
        <v>350.35255309610176</v>
      </c>
      <c r="E12" s="127">
        <f>DTD_17!G11/1000</f>
        <v>402.8248901854858</v>
      </c>
      <c r="F12" s="144">
        <f>DTD_18!G11/1000</f>
        <v>389.55628966443629</v>
      </c>
      <c r="G12" s="128">
        <f t="shared" si="1"/>
        <v>3.8399057544766357</v>
      </c>
      <c r="H12" s="129">
        <f t="shared" si="2"/>
        <v>-3.2938879509008978</v>
      </c>
      <c r="I12" s="130">
        <f t="shared" si="3"/>
        <v>7.3767764562343352</v>
      </c>
      <c r="J12" s="196">
        <f t="shared" si="0"/>
        <v>82.552715038628861</v>
      </c>
      <c r="K12" s="194"/>
      <c r="L12" s="126"/>
      <c r="N12" s="126"/>
      <c r="O12" s="129"/>
      <c r="P12" s="129"/>
    </row>
    <row r="13" spans="1:16" ht="13.5" customHeight="1" x14ac:dyDescent="0.25">
      <c r="A13" s="7">
        <f>+'(skema1-7_2017 - 17pl)'!A12</f>
        <v>3810</v>
      </c>
      <c r="B13" s="7" t="str">
        <f>+'(skema1-7_2017 - 17pl)'!B12</f>
        <v>Sjællands Universitetshospital</v>
      </c>
      <c r="C13" s="120">
        <f>DRG_17!G12/1000</f>
        <v>3510.383777155952</v>
      </c>
      <c r="D13" s="144">
        <f>DRG_18!G12/1000</f>
        <v>3564.213710282887</v>
      </c>
      <c r="E13" s="127">
        <f>DTD_17!G12/1000</f>
        <v>3109.414746113323</v>
      </c>
      <c r="F13" s="144">
        <f>DTD_18!G12/1000</f>
        <v>3036.4038055088763</v>
      </c>
      <c r="G13" s="128">
        <f t="shared" si="1"/>
        <v>1.5334486638536982</v>
      </c>
      <c r="H13" s="206">
        <f t="shared" si="2"/>
        <v>-2.348060537620722</v>
      </c>
      <c r="I13" s="130">
        <f t="shared" si="3"/>
        <v>3.9748408714092021</v>
      </c>
      <c r="J13" s="196">
        <f t="shared" si="0"/>
        <v>107.74583834264493</v>
      </c>
      <c r="K13" s="194"/>
      <c r="L13" s="126"/>
      <c r="N13" s="126"/>
      <c r="O13" s="129"/>
      <c r="P13" s="129"/>
    </row>
    <row r="14" spans="1:16" ht="13.5" customHeight="1" x14ac:dyDescent="0.25">
      <c r="A14" s="7">
        <f>+'(skema1-7_2017 - 17pl)'!A13</f>
        <v>3820</v>
      </c>
      <c r="B14" s="7" t="str">
        <f>+'(skema1-7_2017 - 17pl)'!B13</f>
        <v>Holbæk Sygehus</v>
      </c>
      <c r="C14" s="120">
        <f>DRG_17!G13/1000</f>
        <v>1253.3780577457014</v>
      </c>
      <c r="D14" s="144">
        <f>DRG_18!G13/1000</f>
        <v>1162.4315750804387</v>
      </c>
      <c r="E14" s="127">
        <f>DTD_17!G13/1000</f>
        <v>1230.4089597080219</v>
      </c>
      <c r="F14" s="144">
        <f>DTD_18!G13/1000</f>
        <v>1196.1378361051582</v>
      </c>
      <c r="G14" s="128">
        <f t="shared" si="1"/>
        <v>-7.2561093680574729</v>
      </c>
      <c r="H14" s="206">
        <f t="shared" si="2"/>
        <v>-2.7853441193240625</v>
      </c>
      <c r="I14" s="130">
        <f t="shared" si="3"/>
        <v>-4.5988593059681833</v>
      </c>
      <c r="J14" s="196">
        <f t="shared" si="0"/>
        <v>89.20361718304315</v>
      </c>
      <c r="K14" s="194"/>
      <c r="L14" s="126"/>
      <c r="N14" s="126"/>
      <c r="O14" s="129"/>
      <c r="P14" s="129"/>
    </row>
    <row r="15" spans="1:16" ht="13.5" customHeight="1" x14ac:dyDescent="0.25">
      <c r="A15" s="7">
        <f>+'(skema1-7_2017 - 17pl)'!A14</f>
        <v>3830</v>
      </c>
      <c r="B15" s="7" t="str">
        <f>+'(skema1-7_2017 - 17pl)'!B14</f>
        <v>Næstved, Slagelse og Ringsted sygehuse</v>
      </c>
      <c r="C15" s="120">
        <f>DRG_17!G14/1000</f>
        <v>1652.8617402836874</v>
      </c>
      <c r="D15" s="144">
        <f>DRG_18!G14/1000</f>
        <v>1790.7856667105548</v>
      </c>
      <c r="E15" s="127">
        <f>DTD_17!G14/1000</f>
        <v>2014.1058809795527</v>
      </c>
      <c r="F15" s="144">
        <f>DTD_18!G14/1000</f>
        <v>1994.340078847398</v>
      </c>
      <c r="G15" s="128">
        <f t="shared" si="1"/>
        <v>8.3445531507792658</v>
      </c>
      <c r="H15" s="206">
        <f t="shared" si="2"/>
        <v>-0.98136857246758913</v>
      </c>
      <c r="I15" s="130">
        <f t="shared" si="3"/>
        <v>9.4183504546536909</v>
      </c>
      <c r="J15" s="196">
        <f t="shared" si="0"/>
        <v>82.421532987515064</v>
      </c>
      <c r="K15" s="194"/>
      <c r="L15" s="126"/>
      <c r="N15" s="126"/>
      <c r="O15" s="129"/>
      <c r="P15" s="129"/>
    </row>
    <row r="16" spans="1:16" ht="13.5" customHeight="1" x14ac:dyDescent="0.25">
      <c r="A16" s="7">
        <f>+'(skema1-7_2017 - 17pl)'!A15</f>
        <v>3840</v>
      </c>
      <c r="B16" s="7" t="str">
        <f>+'(skema1-7_2017 - 17pl)'!B15</f>
        <v>Nykøbing Sygehus</v>
      </c>
      <c r="C16" s="120">
        <f>DRG_17!G15/1000</f>
        <v>810.87019343502141</v>
      </c>
      <c r="D16" s="144">
        <f>DRG_18!G15/1000</f>
        <v>788.39902016906967</v>
      </c>
      <c r="E16" s="127">
        <f>DTD_17!G15/1000</f>
        <v>941.8126787494532</v>
      </c>
      <c r="F16" s="144">
        <f>DTD_18!G15/1000</f>
        <v>908.10902098586655</v>
      </c>
      <c r="G16" s="128">
        <f t="shared" si="1"/>
        <v>-2.7712417410188706</v>
      </c>
      <c r="H16" s="206">
        <f t="shared" si="2"/>
        <v>-3.5785946105905686</v>
      </c>
      <c r="I16" s="130">
        <f t="shared" si="3"/>
        <v>0.83731705248550892</v>
      </c>
      <c r="J16" s="196">
        <f t="shared" si="0"/>
        <v>79.690101725097932</v>
      </c>
      <c r="K16" s="194"/>
      <c r="L16" s="126"/>
      <c r="N16" s="126"/>
      <c r="O16" s="129"/>
      <c r="P16" s="129"/>
    </row>
    <row r="17" spans="1:16" ht="13.5" customHeight="1" x14ac:dyDescent="0.25">
      <c r="A17" s="7">
        <f>+'(skema1-7_2017 - 17pl)'!A16</f>
        <v>4202</v>
      </c>
      <c r="B17" s="7" t="str">
        <f>+'(skema1-7_2017 - 17pl)'!B16</f>
        <v>Odense Universitetshospital</v>
      </c>
      <c r="C17" s="120">
        <f>DRG_17!G16/1000</f>
        <v>6965.1667777332295</v>
      </c>
      <c r="D17" s="144">
        <f>DRG_18!G16/1000</f>
        <v>7149.6825219717357</v>
      </c>
      <c r="E17" s="127">
        <f>DTD_17!G16/1000</f>
        <v>5957.1347123787755</v>
      </c>
      <c r="F17" s="144">
        <f>DTD_18!G16/1000</f>
        <v>6012.7100868505522</v>
      </c>
      <c r="G17" s="128">
        <f t="shared" si="1"/>
        <v>2.649121695526091</v>
      </c>
      <c r="H17" s="129">
        <f t="shared" si="2"/>
        <v>0.93292123067643118</v>
      </c>
      <c r="I17" s="130">
        <f t="shared" si="3"/>
        <v>1.7003376538833992</v>
      </c>
      <c r="J17" s="196">
        <f t="shared" si="0"/>
        <v>109.14724767674187</v>
      </c>
      <c r="K17" s="194"/>
      <c r="L17" s="126"/>
      <c r="N17" s="126"/>
      <c r="O17" s="129"/>
      <c r="P17" s="129"/>
    </row>
    <row r="18" spans="1:16" ht="13.5" customHeight="1" x14ac:dyDescent="0.25">
      <c r="A18" s="7">
        <f>+'(skema1-7_2017 - 17pl)'!A17</f>
        <v>5000</v>
      </c>
      <c r="B18" s="7" t="str">
        <f>+'(skema1-7_2017 - 17pl)'!B17</f>
        <v>Sygehus Sønderjylland</v>
      </c>
      <c r="C18" s="120">
        <f>DRG_17!G17/1000</f>
        <v>1882.9756635020669</v>
      </c>
      <c r="D18" s="144">
        <f>DRG_18!G17/1000</f>
        <v>1947.0047885843182</v>
      </c>
      <c r="E18" s="127">
        <f>DTD_17!G17/1000</f>
        <v>1681.623285640145</v>
      </c>
      <c r="F18" s="144">
        <f>DTD_18!G17/1000</f>
        <v>1716.926984037392</v>
      </c>
      <c r="G18" s="128">
        <f t="shared" si="1"/>
        <v>3.4004223380755816</v>
      </c>
      <c r="H18" s="129">
        <f t="shared" si="2"/>
        <v>2.0993821088655995</v>
      </c>
      <c r="I18" s="130">
        <f t="shared" si="3"/>
        <v>1.2742880537932377</v>
      </c>
      <c r="J18" s="196">
        <f t="shared" si="0"/>
        <v>104.09059442213473</v>
      </c>
      <c r="K18" s="194"/>
      <c r="L18" s="126"/>
      <c r="N18" s="126"/>
      <c r="O18" s="129"/>
      <c r="P18" s="129"/>
    </row>
    <row r="19" spans="1:16" ht="13.5" customHeight="1" x14ac:dyDescent="0.25">
      <c r="A19" s="7">
        <f>+'(skema1-7_2017 - 17pl)'!A18</f>
        <v>5501</v>
      </c>
      <c r="B19" s="7" t="str">
        <f>+'(skema1-7_2017 - 17pl)'!B18</f>
        <v>Sydvestjysk Sygehus</v>
      </c>
      <c r="C19" s="120">
        <f>DRG_17!G18/1000</f>
        <v>1963.9192792124788</v>
      </c>
      <c r="D19" s="144">
        <f>DRG_18!G18/1000</f>
        <v>2013.4989264278465</v>
      </c>
      <c r="E19" s="127">
        <f>DTD_17!G18/1000</f>
        <v>1688.9466176009992</v>
      </c>
      <c r="F19" s="144">
        <f>DTD_18!G18/1000</f>
        <v>1686.5760430170478</v>
      </c>
      <c r="G19" s="128">
        <f t="shared" si="1"/>
        <v>2.5245257144809408</v>
      </c>
      <c r="H19" s="129">
        <f t="shared" si="2"/>
        <v>-0.14035817113737803</v>
      </c>
      <c r="I19" s="130">
        <f t="shared" si="3"/>
        <v>2.6686295252143388</v>
      </c>
      <c r="J19" s="196">
        <f t="shared" si="0"/>
        <v>109.58264291191426</v>
      </c>
      <c r="K19" s="194"/>
      <c r="L19" s="126"/>
      <c r="N19" s="126"/>
      <c r="O19" s="129"/>
      <c r="P19" s="129"/>
    </row>
    <row r="20" spans="1:16" ht="13.5" customHeight="1" x14ac:dyDescent="0.25">
      <c r="A20" s="7">
        <f>+'(skema1-7_2017 - 17pl)'!A19</f>
        <v>6007</v>
      </c>
      <c r="B20" s="7" t="str">
        <f>+'(skema1-7_2017 - 17pl)'!B19</f>
        <v>Fredericia og Kolding sygehuse</v>
      </c>
      <c r="C20" s="120">
        <f>DRG_17!G19/1000</f>
        <v>1518.8739885125376</v>
      </c>
      <c r="D20" s="144">
        <f>DRG_18!G19/1000</f>
        <v>1557.7537755757469</v>
      </c>
      <c r="E20" s="127">
        <f>DTD_17!G19/1000</f>
        <v>1378.3879000449997</v>
      </c>
      <c r="F20" s="144">
        <f>DTD_18!G19/1000</f>
        <v>1412.6055468052034</v>
      </c>
      <c r="G20" s="128">
        <f t="shared" si="1"/>
        <v>2.55977700304717</v>
      </c>
      <c r="H20" s="129">
        <f t="shared" si="2"/>
        <v>2.4824395773560326</v>
      </c>
      <c r="I20" s="130">
        <f t="shared" si="3"/>
        <v>7.5464075611475501E-2</v>
      </c>
      <c r="J20" s="196">
        <f t="shared" si="0"/>
        <v>101.22183369290052</v>
      </c>
      <c r="K20" s="194"/>
      <c r="L20" s="126"/>
      <c r="N20" s="126"/>
      <c r="O20" s="129"/>
      <c r="P20" s="129"/>
    </row>
    <row r="21" spans="1:16" ht="13.5" customHeight="1" x14ac:dyDescent="0.25">
      <c r="A21" s="7">
        <f>+'(skema1-7_2017 - 17pl)'!A20</f>
        <v>6008</v>
      </c>
      <c r="B21" s="7" t="str">
        <f>+'(skema1-7_2017 - 17pl)'!B20</f>
        <v>Vejle-Give-Middelfart sygehuse</v>
      </c>
      <c r="C21" s="120">
        <f>DRG_17!G20/1000</f>
        <v>1805.7549586264006</v>
      </c>
      <c r="D21" s="144">
        <f>DRG_18!G20/1000</f>
        <v>1847.4287178312138</v>
      </c>
      <c r="E21" s="127">
        <f>DTD_17!G20/1000</f>
        <v>1401.8882304178412</v>
      </c>
      <c r="F21" s="144">
        <f>DTD_18!G20/1000</f>
        <v>1420.0736799799631</v>
      </c>
      <c r="G21" s="128">
        <f t="shared" si="1"/>
        <v>2.3078302515925797</v>
      </c>
      <c r="H21" s="129">
        <f t="shared" si="2"/>
        <v>1.2972110876986021</v>
      </c>
      <c r="I21" s="130">
        <f t="shared" si="3"/>
        <v>0.99767718483287915</v>
      </c>
      <c r="J21" s="196">
        <f t="shared" si="0"/>
        <v>119.41341194373629</v>
      </c>
      <c r="K21" s="194"/>
      <c r="L21" s="126"/>
      <c r="N21" s="126"/>
      <c r="O21" s="129"/>
      <c r="P21" s="129"/>
    </row>
    <row r="22" spans="1:16" ht="13.5" customHeight="1" x14ac:dyDescent="0.25">
      <c r="A22" s="7">
        <f>+'(skema1-7_2017 - 17pl)'!A21</f>
        <v>6013</v>
      </c>
      <c r="B22" s="7" t="str">
        <f>+'(skema1-7_2017 - 17pl)'!B21</f>
        <v>De Vestdanske Friklinikker, Give</v>
      </c>
      <c r="C22" s="120">
        <f>DRG_17!G21/1000</f>
        <v>109.83080604346802</v>
      </c>
      <c r="D22" s="144">
        <f>DRG_18!G21/1000</f>
        <v>93.915288093670256</v>
      </c>
      <c r="E22" s="127">
        <f>DTD_17!G21/1000</f>
        <v>79.938294783999993</v>
      </c>
      <c r="F22" s="144">
        <f>DTD_18!G21/1000</f>
        <v>68.032663453999987</v>
      </c>
      <c r="G22" s="128">
        <f t="shared" si="1"/>
        <v>-14.490941588372607</v>
      </c>
      <c r="H22" s="129">
        <f t="shared" si="2"/>
        <v>-14.893526766076292</v>
      </c>
      <c r="I22" s="130">
        <f t="shared" si="3"/>
        <v>0.47303708214665452</v>
      </c>
      <c r="J22" s="196">
        <f t="shared" si="0"/>
        <v>126.7112328816724</v>
      </c>
      <c r="K22" s="194"/>
      <c r="L22" s="126"/>
      <c r="N22" s="126"/>
      <c r="O22" s="129"/>
      <c r="P22" s="129"/>
    </row>
    <row r="23" spans="1:16" ht="13.5" customHeight="1" x14ac:dyDescent="0.25">
      <c r="A23" s="7">
        <f>+'(skema1-7_2017 - 17pl)'!A22</f>
        <v>6006</v>
      </c>
      <c r="B23" s="7" t="str">
        <f>+'(skema1-7_2017 - 17pl)'!B22</f>
        <v>Hospitalenheden Horsens</v>
      </c>
      <c r="C23" s="120">
        <f>DRG_17!G22/1000</f>
        <v>1159.7000407915523</v>
      </c>
      <c r="D23" s="144">
        <f>DRG_18!G22/1000</f>
        <v>1201.3654750830667</v>
      </c>
      <c r="E23" s="127">
        <f>DTD_17!G22/1000</f>
        <v>1036.8742648402438</v>
      </c>
      <c r="F23" s="144">
        <f>DTD_18!G22/1000</f>
        <v>1039.6154906963679</v>
      </c>
      <c r="G23" s="128">
        <f t="shared" si="1"/>
        <v>3.5927768238307234</v>
      </c>
      <c r="H23" s="129">
        <f t="shared" si="2"/>
        <v>0.26437398912071419</v>
      </c>
      <c r="I23" s="130">
        <f t="shared" si="3"/>
        <v>3.3196266054293266</v>
      </c>
      <c r="J23" s="196">
        <f t="shared" si="0"/>
        <v>106.07149750367493</v>
      </c>
      <c r="K23" s="194"/>
      <c r="L23" s="126"/>
      <c r="N23" s="126"/>
      <c r="O23" s="129"/>
      <c r="P23" s="129"/>
    </row>
    <row r="24" spans="1:16" ht="13.5" customHeight="1" x14ac:dyDescent="0.25">
      <c r="A24" s="7">
        <f>+'(skema1-7_2017 - 17pl)'!A23</f>
        <v>6650</v>
      </c>
      <c r="B24" s="7" t="str">
        <f>+'(skema1-7_2017 - 17pl)'!B23</f>
        <v>Hospitalsenheden Vest</v>
      </c>
      <c r="C24" s="120">
        <f>DRG_17!G23/1000</f>
        <v>2359.636052811662</v>
      </c>
      <c r="D24" s="144">
        <f>DRG_18!G23/1000</f>
        <v>2414.2530382554069</v>
      </c>
      <c r="E24" s="127">
        <f>DTD_17!G23/1000</f>
        <v>2090.3314203526365</v>
      </c>
      <c r="F24" s="144">
        <f>DTD_18!G23/1000</f>
        <v>2097.1906259252</v>
      </c>
      <c r="G24" s="128">
        <f t="shared" si="1"/>
        <v>2.3146359956089491</v>
      </c>
      <c r="H24" s="129">
        <f t="shared" si="2"/>
        <v>0.32813961966884353</v>
      </c>
      <c r="I24" s="130">
        <f t="shared" si="3"/>
        <v>1.9799992140496769</v>
      </c>
      <c r="J24" s="196">
        <f t="shared" si="0"/>
        <v>105.66743710951616</v>
      </c>
      <c r="K24" s="194"/>
      <c r="L24" s="126"/>
      <c r="N24" s="126"/>
      <c r="O24" s="129"/>
      <c r="P24" s="129"/>
    </row>
    <row r="25" spans="1:16" ht="13.5" customHeight="1" x14ac:dyDescent="0.25">
      <c r="A25" s="7">
        <f>+'(skema1-7_2017 - 17pl)'!A24</f>
        <v>6620</v>
      </c>
      <c r="B25" s="7" t="str">
        <f>+'(skema1-7_2017 - 17pl)'!B24</f>
        <v>Aarhus Universitetshospital</v>
      </c>
      <c r="C25" s="120">
        <f>DRG_17!G24/1000</f>
        <v>6055.3595435529487</v>
      </c>
      <c r="D25" s="144">
        <f>DRG_18!G24/1000</f>
        <v>5997.2000192558025</v>
      </c>
      <c r="E25" s="127">
        <f>DTD_17!G24/1000</f>
        <v>6169.4561532844036</v>
      </c>
      <c r="F25" s="144">
        <f>DTD_18!G24/1000</f>
        <v>5929.2602536280883</v>
      </c>
      <c r="G25" s="128">
        <f t="shared" si="1"/>
        <v>-0.96046360053165802</v>
      </c>
      <c r="H25" s="129">
        <f t="shared" si="2"/>
        <v>-3.8933075086114877</v>
      </c>
      <c r="I25" s="130">
        <f t="shared" si="3"/>
        <v>3.0516541897877003</v>
      </c>
      <c r="J25" s="196">
        <f t="shared" si="0"/>
        <v>92.841963276822824</v>
      </c>
      <c r="K25" s="194"/>
      <c r="L25" s="126"/>
      <c r="N25" s="126"/>
      <c r="O25" s="129"/>
      <c r="P25" s="129"/>
    </row>
    <row r="26" spans="1:16" ht="13.5" customHeight="1" x14ac:dyDescent="0.25">
      <c r="A26" s="7">
        <f>+'(skema1-7_2017 - 17pl)'!A25</f>
        <v>7005</v>
      </c>
      <c r="B26" s="7" t="str">
        <f>+'(skema1-7_2017 - 17pl)'!B25</f>
        <v>Regionshospitalet Randers</v>
      </c>
      <c r="C26" s="120">
        <f>DRG_17!G25/1000</f>
        <v>1296.7279320223665</v>
      </c>
      <c r="D26" s="144">
        <f>DRG_18!G25/1000</f>
        <v>1335.4810133795245</v>
      </c>
      <c r="E26" s="127">
        <f>DTD_17!G25/1000</f>
        <v>1179.4437953583697</v>
      </c>
      <c r="F26" s="144">
        <f>DTD_18!G25/1000</f>
        <v>1156.3904122369599</v>
      </c>
      <c r="G26" s="128">
        <f t="shared" si="1"/>
        <v>2.9885283103849636</v>
      </c>
      <c r="H26" s="129">
        <f t="shared" si="2"/>
        <v>-1.9545978546951503</v>
      </c>
      <c r="I26" s="130">
        <f t="shared" si="3"/>
        <v>5.0416705494810587</v>
      </c>
      <c r="J26" s="196">
        <f t="shared" si="0"/>
        <v>106.00577635384015</v>
      </c>
      <c r="K26" s="194"/>
      <c r="L26" s="126"/>
      <c r="N26" s="126"/>
      <c r="O26" s="129"/>
      <c r="P26" s="129"/>
    </row>
    <row r="27" spans="1:16" ht="13.5" customHeight="1" x14ac:dyDescent="0.25">
      <c r="A27" s="7">
        <f>+'(skema1-7_2017 - 17pl)'!A26</f>
        <v>6630</v>
      </c>
      <c r="B27" s="7" t="str">
        <f>+'(skema1-7_2017 - 17pl)'!B26</f>
        <v>Hospitalsenhed Midt</v>
      </c>
      <c r="C27" s="120">
        <f>DRG_17!G26/1000</f>
        <v>2605.1758223383631</v>
      </c>
      <c r="D27" s="144">
        <f>DRG_18!G26/1000</f>
        <v>2609.0289063103069</v>
      </c>
      <c r="E27" s="127">
        <f>DTD_17!G26/1000</f>
        <v>2445.6007165620285</v>
      </c>
      <c r="F27" s="144">
        <f>DTD_18!G26/1000</f>
        <v>2386.6853628997442</v>
      </c>
      <c r="G27" s="128">
        <f t="shared" si="1"/>
        <v>0.14790111050875243</v>
      </c>
      <c r="H27" s="129">
        <f t="shared" si="2"/>
        <v>-2.4090340366397234</v>
      </c>
      <c r="I27" s="130">
        <f t="shared" si="3"/>
        <v>2.6200531185524456</v>
      </c>
      <c r="J27" s="196">
        <f t="shared" si="0"/>
        <v>100.34136770526294</v>
      </c>
      <c r="K27" s="194"/>
      <c r="L27" s="126"/>
      <c r="N27" s="126"/>
      <c r="O27" s="129"/>
      <c r="P27" s="129"/>
    </row>
    <row r="28" spans="1:16" ht="13.5" customHeight="1" x14ac:dyDescent="0.25">
      <c r="A28" s="7">
        <f>+'(skema1-7_2017 - 17pl)'!A27</f>
        <v>8001</v>
      </c>
      <c r="B28" s="7" t="str">
        <f>+'(skema1-7_2017 - 17pl)'!B27</f>
        <v>Aalborg Universitetshospital</v>
      </c>
      <c r="C28" s="120">
        <f>DRG_17!G27/1000</f>
        <v>4263.1388263520439</v>
      </c>
      <c r="D28" s="144">
        <f>DRG_18!G27/1000</f>
        <v>4645.2530759440788</v>
      </c>
      <c r="E28" s="127">
        <f>DTD_17!G27/1000</f>
        <v>4055.7338277531849</v>
      </c>
      <c r="F28" s="144">
        <f>DTD_18!G27/1000</f>
        <v>4451.6532919999991</v>
      </c>
      <c r="G28" s="128">
        <f t="shared" si="1"/>
        <v>8.9632138468033205</v>
      </c>
      <c r="H28" s="129">
        <f t="shared" si="2"/>
        <v>9.7619686365401304</v>
      </c>
      <c r="I28" s="130">
        <f t="shared" si="3"/>
        <v>-0.72771543701239949</v>
      </c>
      <c r="J28" s="196">
        <f t="shared" si="0"/>
        <v>95.782097214544933</v>
      </c>
      <c r="K28" s="194"/>
      <c r="L28" s="126"/>
      <c r="N28" s="126"/>
      <c r="O28" s="129"/>
      <c r="P28" s="129"/>
    </row>
    <row r="29" spans="1:16" ht="13.5" customHeight="1" x14ac:dyDescent="0.25">
      <c r="A29" s="7">
        <f>+'(skema1-7_2017 - 17pl)'!A28</f>
        <v>8003</v>
      </c>
      <c r="B29" s="7" t="str">
        <f>+'(skema1-7_2017 - 17pl)'!B28</f>
        <v>Regionshospitalet Nordjylland</v>
      </c>
      <c r="C29" s="120">
        <f>DRG_17!G28/1000</f>
        <v>1388.5376161152576</v>
      </c>
      <c r="D29" s="144">
        <f>DRG_18!G28/1000</f>
        <v>1065.1099812855066</v>
      </c>
      <c r="E29" s="127">
        <f>DTD_17!G28/1000</f>
        <v>1420.0790897855475</v>
      </c>
      <c r="F29" s="144">
        <f>DTD_18!G28/1000</f>
        <v>1045.3404889999999</v>
      </c>
      <c r="G29" s="128">
        <f t="shared" si="1"/>
        <v>-23.292680808649003</v>
      </c>
      <c r="H29" s="129">
        <f t="shared" si="2"/>
        <v>-26.388572543669973</v>
      </c>
      <c r="I29" s="130">
        <f t="shared" si="3"/>
        <v>4.2057216413275089</v>
      </c>
      <c r="J29" s="196">
        <f t="shared" si="0"/>
        <v>93.526132901046495</v>
      </c>
      <c r="K29" s="194"/>
      <c r="L29" s="126"/>
      <c r="N29" s="126"/>
      <c r="O29" s="129"/>
      <c r="P29" s="129"/>
    </row>
    <row r="30" spans="1:16" ht="13.5" customHeight="1" x14ac:dyDescent="0.25">
      <c r="A30" s="13"/>
      <c r="B30" s="13" t="s">
        <v>14</v>
      </c>
      <c r="C30" s="131">
        <f>SUM(C6:C29)</f>
        <v>61298.262823632183</v>
      </c>
      <c r="D30" s="145">
        <f>SUM(D6:D29)</f>
        <v>62571.398633000004</v>
      </c>
      <c r="E30" s="133">
        <f>SUM(E6:E29)</f>
        <v>57951.827196446247</v>
      </c>
      <c r="F30" s="145">
        <f>SUM(F6:F29)</f>
        <v>57434.409185105113</v>
      </c>
      <c r="G30" s="134">
        <f>(D30/C30-1)*100</f>
        <v>2.0769525117390275</v>
      </c>
      <c r="H30" s="135">
        <f>(F30/E30-1)*100</f>
        <v>-0.89284158303961636</v>
      </c>
      <c r="I30" s="136">
        <f>((D30/C30)/(F30/E30)-1)*100</f>
        <v>2.9965485260754043</v>
      </c>
      <c r="J30" s="153">
        <f t="shared" si="0"/>
        <v>100</v>
      </c>
      <c r="K30" s="195"/>
      <c r="L30" s="126"/>
    </row>
    <row r="31" spans="1:16" ht="13.5" customHeight="1" x14ac:dyDescent="0.25">
      <c r="A31" s="138"/>
      <c r="B31" s="107"/>
      <c r="C31" s="107"/>
      <c r="D31" s="107"/>
      <c r="E31" s="107"/>
      <c r="F31" s="107"/>
      <c r="G31" s="107"/>
      <c r="H31" s="107"/>
      <c r="I31" s="136"/>
      <c r="J31" s="107"/>
      <c r="K31" s="107"/>
    </row>
    <row r="32" spans="1:16" ht="33.75" customHeight="1" x14ac:dyDescent="0.25">
      <c r="A32" s="138"/>
      <c r="B32" s="112"/>
      <c r="C32" s="214" t="s">
        <v>17</v>
      </c>
      <c r="D32" s="213"/>
      <c r="E32" s="212" t="s">
        <v>40</v>
      </c>
      <c r="F32" s="213"/>
      <c r="G32" s="211" t="s">
        <v>94</v>
      </c>
      <c r="H32" s="211"/>
      <c r="I32" s="211"/>
      <c r="J32" s="113" t="s">
        <v>20</v>
      </c>
      <c r="K32" s="192"/>
    </row>
    <row r="33" spans="1:16" ht="21" x14ac:dyDescent="0.25">
      <c r="A33" s="141"/>
      <c r="B33" s="114" t="s">
        <v>0</v>
      </c>
      <c r="C33" s="116">
        <v>2017</v>
      </c>
      <c r="D33" s="116">
        <v>2018</v>
      </c>
      <c r="E33" s="116">
        <v>2017</v>
      </c>
      <c r="F33" s="116">
        <v>2018</v>
      </c>
      <c r="G33" s="117" t="s">
        <v>25</v>
      </c>
      <c r="H33" s="118" t="s">
        <v>18</v>
      </c>
      <c r="I33" s="180" t="s">
        <v>19</v>
      </c>
      <c r="J33" s="119">
        <v>2018</v>
      </c>
      <c r="K33" s="193"/>
    </row>
    <row r="34" spans="1:16" ht="13.5" customHeight="1" x14ac:dyDescent="0.25">
      <c r="B34" s="17" t="s">
        <v>26</v>
      </c>
      <c r="C34" s="18">
        <f>SUM(C6:C12)</f>
        <v>20695.971747397442</v>
      </c>
      <c r="D34" s="18">
        <f>SUM(D6:D12)</f>
        <v>21388.59313275883</v>
      </c>
      <c r="E34" s="18">
        <f>SUM(E6:E12)</f>
        <v>20070.646622092732</v>
      </c>
      <c r="F34" s="18">
        <f>SUM(F6:F12)</f>
        <v>19876.357513127299</v>
      </c>
      <c r="G34" s="128">
        <f t="shared" ref="G34:G39" si="8">(D34/C34-1)*100</f>
        <v>3.3466482937602793</v>
      </c>
      <c r="H34" s="129">
        <f t="shared" ref="H34:H39" si="9">(F34/E34-1)*100</f>
        <v>-0.96802615592648245</v>
      </c>
      <c r="I34" s="130">
        <f t="shared" ref="I34:I39" si="10">((D34/C34)/(F34/E34)-1)*100</f>
        <v>4.3568498962569757</v>
      </c>
      <c r="J34" s="125">
        <f t="shared" ref="J34:J39" si="11">(D34/F34)/($D$30/$F$30)*100</f>
        <v>98.77378919320428</v>
      </c>
      <c r="K34" s="195"/>
      <c r="L34" s="126"/>
      <c r="O34" s="129"/>
      <c r="P34" s="129"/>
    </row>
    <row r="35" spans="1:16" ht="13.5" customHeight="1" x14ac:dyDescent="0.25">
      <c r="B35" s="19" t="s">
        <v>27</v>
      </c>
      <c r="C35" s="5">
        <f>SUM(C13:C16)</f>
        <v>7227.4937686203621</v>
      </c>
      <c r="D35" s="5">
        <f>SUM(D13:D16)</f>
        <v>7305.8299722429501</v>
      </c>
      <c r="E35" s="5">
        <f>SUM(E13:E16)</f>
        <v>7295.7422655503506</v>
      </c>
      <c r="F35" s="5">
        <f>SUM(F13:F16)</f>
        <v>7134.9907414472991</v>
      </c>
      <c r="G35" s="128">
        <f t="shared" si="8"/>
        <v>1.083864007779578</v>
      </c>
      <c r="H35" s="129">
        <f t="shared" si="9"/>
        <v>-2.2033607856749793</v>
      </c>
      <c r="I35" s="130">
        <f t="shared" si="10"/>
        <v>3.361286052223611</v>
      </c>
      <c r="J35" s="125">
        <f t="shared" si="11"/>
        <v>93.988007323228516</v>
      </c>
      <c r="K35" s="195"/>
      <c r="L35" s="126"/>
      <c r="O35" s="129"/>
      <c r="P35" s="129"/>
    </row>
    <row r="36" spans="1:16" ht="13.5" customHeight="1" x14ac:dyDescent="0.25">
      <c r="B36" s="19" t="s">
        <v>28</v>
      </c>
      <c r="C36" s="5">
        <f>SUM(C17:C22)</f>
        <v>14246.521473630184</v>
      </c>
      <c r="D36" s="5">
        <f>SUM(D17:D22)</f>
        <v>14609.284018484532</v>
      </c>
      <c r="E36" s="5">
        <f>SUM(E17:E22)</f>
        <v>12187.91904086676</v>
      </c>
      <c r="F36" s="5">
        <f>SUM(F17:F22)</f>
        <v>12316.925004144159</v>
      </c>
      <c r="G36" s="128">
        <f t="shared" si="8"/>
        <v>2.546323644868731</v>
      </c>
      <c r="H36" s="129">
        <f t="shared" si="9"/>
        <v>1.0584740745720023</v>
      </c>
      <c r="I36" s="130">
        <f t="shared" si="10"/>
        <v>1.4722660162064471</v>
      </c>
      <c r="J36" s="125">
        <f t="shared" si="11"/>
        <v>108.87368697569266</v>
      </c>
      <c r="K36" s="195"/>
      <c r="L36" s="126"/>
      <c r="O36" s="129"/>
      <c r="P36" s="129"/>
    </row>
    <row r="37" spans="1:16" ht="13.5" customHeight="1" x14ac:dyDescent="0.25">
      <c r="B37" s="19" t="s">
        <v>29</v>
      </c>
      <c r="C37" s="5">
        <f>SUM(C23:C27)</f>
        <v>13476.599391516891</v>
      </c>
      <c r="D37" s="5">
        <f>SUM(D23:D27)</f>
        <v>13557.328452284108</v>
      </c>
      <c r="E37" s="5">
        <f>SUM(E23:E27)</f>
        <v>12921.706350397682</v>
      </c>
      <c r="F37" s="5">
        <f>SUM(F23:F27)</f>
        <v>12609.142145386362</v>
      </c>
      <c r="G37" s="128">
        <f t="shared" si="8"/>
        <v>0.59903139079753309</v>
      </c>
      <c r="H37" s="129">
        <f t="shared" si="9"/>
        <v>-2.4189081266476897</v>
      </c>
      <c r="I37" s="130">
        <f t="shared" si="10"/>
        <v>3.0927503059323458</v>
      </c>
      <c r="J37" s="125">
        <f t="shared" si="11"/>
        <v>98.692664091506359</v>
      </c>
      <c r="K37" s="195"/>
      <c r="L37" s="126"/>
      <c r="O37" s="129"/>
      <c r="P37" s="129"/>
    </row>
    <row r="38" spans="1:16" ht="13.5" customHeight="1" x14ac:dyDescent="0.25">
      <c r="B38" s="20" t="s">
        <v>30</v>
      </c>
      <c r="C38" s="10">
        <f>+SUM(C28:C29)</f>
        <v>5651.676442467302</v>
      </c>
      <c r="D38" s="10">
        <f>+SUM(D28:D29)</f>
        <v>5710.3630572295851</v>
      </c>
      <c r="E38" s="10">
        <f>+SUM(E28:E29)</f>
        <v>5475.8129175387321</v>
      </c>
      <c r="F38" s="10">
        <f>+SUM(F28:F29)</f>
        <v>5496.9937809999992</v>
      </c>
      <c r="G38" s="181">
        <f t="shared" si="8"/>
        <v>1.0383930389451512</v>
      </c>
      <c r="H38" s="140">
        <f t="shared" si="9"/>
        <v>0.38680765358922731</v>
      </c>
      <c r="I38" s="182">
        <f t="shared" si="10"/>
        <v>0.64907471468202971</v>
      </c>
      <c r="J38" s="137">
        <f t="shared" si="11"/>
        <v>95.353089845682675</v>
      </c>
      <c r="K38" s="195"/>
      <c r="L38" s="126"/>
      <c r="O38" s="129"/>
      <c r="P38" s="129"/>
    </row>
    <row r="39" spans="1:16" ht="13.5" customHeight="1" x14ac:dyDescent="0.25">
      <c r="B39" s="13" t="s">
        <v>14</v>
      </c>
      <c r="C39" s="22">
        <f>SUM(C34:C38)</f>
        <v>61298.262823632176</v>
      </c>
      <c r="D39" s="132">
        <f>SUM(D34:D38)</f>
        <v>62571.398633000004</v>
      </c>
      <c r="E39" s="133">
        <f>SUM(E34:E38)</f>
        <v>57951.827196446255</v>
      </c>
      <c r="F39" s="133">
        <f>SUM(F34:F38)</f>
        <v>57434.40918510512</v>
      </c>
      <c r="G39" s="134">
        <f t="shared" si="8"/>
        <v>2.0769525117390497</v>
      </c>
      <c r="H39" s="135">
        <f t="shared" si="9"/>
        <v>-0.89284158303961636</v>
      </c>
      <c r="I39" s="136">
        <f t="shared" si="10"/>
        <v>2.9965485260754265</v>
      </c>
      <c r="J39" s="137">
        <f t="shared" si="11"/>
        <v>99.999999999999972</v>
      </c>
      <c r="K39" s="195"/>
      <c r="L39" s="126"/>
    </row>
    <row r="40" spans="1:16" ht="13.5" customHeight="1" x14ac:dyDescent="0.25">
      <c r="C40" s="106"/>
    </row>
    <row r="41" spans="1:16" ht="13.5" customHeight="1" x14ac:dyDescent="0.25"/>
    <row r="42" spans="1:16" ht="13.5" customHeight="1" x14ac:dyDescent="0.25"/>
    <row r="43" spans="1:16" ht="13.5" customHeight="1" x14ac:dyDescent="0.25"/>
    <row r="44" spans="1:16" ht="13.5" customHeight="1" x14ac:dyDescent="0.25"/>
    <row r="45" spans="1:16" ht="13.5" customHeight="1" x14ac:dyDescent="0.25"/>
  </sheetData>
  <mergeCells count="6">
    <mergeCell ref="G4:I4"/>
    <mergeCell ref="C4:D4"/>
    <mergeCell ref="E4:F4"/>
    <mergeCell ref="C32:D32"/>
    <mergeCell ref="E32:F32"/>
    <mergeCell ref="G32:I32"/>
  </mergeCells>
  <phoneticPr fontId="0" type="noConversion"/>
  <pageMargins left="0.51181102362204722" right="0.43307086614173229" top="0.51181102362204722" bottom="0.19685039370078741" header="0.23622047244094491" footer="0.23622047244094491"/>
  <pageSetup paperSize="9" scale="76" orientation="landscape" r:id="rId1"/>
  <headerFooter alignWithMargins="0">
    <oddHeader>&amp;CSide &amp;P /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77"/>
  <sheetViews>
    <sheetView workbookViewId="0">
      <selection activeCell="F6" sqref="F6:F30"/>
    </sheetView>
  </sheetViews>
  <sheetFormatPr defaultColWidth="9.1796875" defaultRowHeight="12" x14ac:dyDescent="0.3"/>
  <cols>
    <col min="1" max="3" width="9.1796875" style="177"/>
    <col min="4" max="4" width="33.1796875" style="177" bestFit="1" customWidth="1"/>
    <col min="5" max="5" width="10.453125" style="177" bestFit="1" customWidth="1"/>
    <col min="6" max="6" width="9.54296875" style="177" bestFit="1" customWidth="1"/>
    <col min="7" max="7" width="25.7265625" style="177" customWidth="1"/>
    <col min="8" max="8" width="13.81640625" style="177" bestFit="1" customWidth="1"/>
    <col min="9" max="9" width="16.26953125" style="177" bestFit="1" customWidth="1"/>
    <col min="10" max="11" width="9.1796875" style="177"/>
    <col min="12" max="12" width="33.1796875" style="177" bestFit="1" customWidth="1"/>
    <col min="13" max="13" width="13.81640625" style="177" bestFit="1" customWidth="1"/>
    <col min="14" max="14" width="16.26953125" style="177" bestFit="1" customWidth="1"/>
    <col min="15" max="15" width="13.81640625" style="177" bestFit="1" customWidth="1"/>
    <col min="16" max="16384" width="9.1796875" style="177"/>
  </cols>
  <sheetData>
    <row r="5" spans="2:15" x14ac:dyDescent="0.3">
      <c r="B5" s="167" t="s">
        <v>72</v>
      </c>
      <c r="C5" s="168" t="s">
        <v>71</v>
      </c>
      <c r="D5" s="168" t="s">
        <v>0</v>
      </c>
      <c r="E5" s="167" t="s">
        <v>56</v>
      </c>
      <c r="J5" s="167" t="s">
        <v>72</v>
      </c>
      <c r="K5" s="168" t="s">
        <v>71</v>
      </c>
      <c r="L5" s="168" t="s">
        <v>0</v>
      </c>
      <c r="M5" s="168" t="s">
        <v>110</v>
      </c>
      <c r="N5" s="168" t="s">
        <v>111</v>
      </c>
      <c r="O5" s="168" t="s">
        <v>112</v>
      </c>
    </row>
    <row r="6" spans="2:15" x14ac:dyDescent="0.3">
      <c r="B6" s="169">
        <v>1084</v>
      </c>
      <c r="C6" s="170">
        <v>1301</v>
      </c>
      <c r="D6" s="170" t="s">
        <v>73</v>
      </c>
      <c r="E6" s="200">
        <f t="shared" ref="E6:E29" si="0">SUMIFS(I:I,H:H,C6)</f>
        <v>100881620</v>
      </c>
      <c r="F6" s="207"/>
      <c r="J6" s="169">
        <v>1084</v>
      </c>
      <c r="K6" s="170">
        <v>1301</v>
      </c>
      <c r="L6" s="170" t="s">
        <v>73</v>
      </c>
      <c r="M6" s="208">
        <v>0</v>
      </c>
      <c r="N6" s="208">
        <v>100881620</v>
      </c>
      <c r="O6" s="209">
        <v>100881620</v>
      </c>
    </row>
    <row r="7" spans="2:15" x14ac:dyDescent="0.3">
      <c r="B7" s="169">
        <v>1084</v>
      </c>
      <c r="C7" s="170">
        <v>1309</v>
      </c>
      <c r="D7" s="170" t="s">
        <v>67</v>
      </c>
      <c r="E7" s="200">
        <f t="shared" si="0"/>
        <v>807747190</v>
      </c>
      <c r="F7" s="207"/>
      <c r="J7" s="169">
        <v>1084</v>
      </c>
      <c r="K7" s="170">
        <v>1309</v>
      </c>
      <c r="L7" s="170" t="s">
        <v>67</v>
      </c>
      <c r="M7" s="209">
        <v>9961726</v>
      </c>
      <c r="N7" s="209">
        <v>797785464</v>
      </c>
      <c r="O7" s="209">
        <v>807747190</v>
      </c>
    </row>
    <row r="8" spans="2:15" x14ac:dyDescent="0.3">
      <c r="B8" s="169">
        <v>1084</v>
      </c>
      <c r="C8" s="170">
        <v>1330</v>
      </c>
      <c r="D8" s="170" t="s">
        <v>74</v>
      </c>
      <c r="E8" s="200">
        <f t="shared" si="0"/>
        <v>90780172</v>
      </c>
      <c r="F8" s="207"/>
      <c r="J8" s="169">
        <v>1084</v>
      </c>
      <c r="K8" s="170">
        <v>1330</v>
      </c>
      <c r="L8" s="170" t="s">
        <v>74</v>
      </c>
      <c r="M8" s="209">
        <v>0</v>
      </c>
      <c r="N8" s="209">
        <v>90780172</v>
      </c>
      <c r="O8" s="209">
        <v>90780172</v>
      </c>
    </row>
    <row r="9" spans="2:15" x14ac:dyDescent="0.3">
      <c r="B9" s="169">
        <v>1084</v>
      </c>
      <c r="C9" s="170">
        <v>1516</v>
      </c>
      <c r="D9" s="170" t="s">
        <v>70</v>
      </c>
      <c r="E9" s="200">
        <f t="shared" si="0"/>
        <v>27518340.333936188</v>
      </c>
      <c r="F9" s="207"/>
      <c r="J9" s="169">
        <v>1084</v>
      </c>
      <c r="K9" s="170">
        <v>1516</v>
      </c>
      <c r="L9" s="170" t="s">
        <v>70</v>
      </c>
      <c r="M9" s="209">
        <v>13416784.333936188</v>
      </c>
      <c r="N9" s="209">
        <v>14101556</v>
      </c>
      <c r="O9" s="209">
        <v>27518340.333936188</v>
      </c>
    </row>
    <row r="10" spans="2:15" x14ac:dyDescent="0.3">
      <c r="B10" s="169">
        <v>1084</v>
      </c>
      <c r="C10" s="170">
        <v>1507</v>
      </c>
      <c r="D10" s="170" t="s">
        <v>113</v>
      </c>
      <c r="E10" s="200">
        <f t="shared" si="0"/>
        <v>0</v>
      </c>
      <c r="F10" s="207"/>
      <c r="J10" s="169">
        <v>1084</v>
      </c>
      <c r="K10" s="170">
        <v>1507</v>
      </c>
      <c r="L10" s="170" t="s">
        <v>113</v>
      </c>
      <c r="M10" s="209">
        <v>0</v>
      </c>
      <c r="N10" s="209">
        <v>0</v>
      </c>
      <c r="O10" s="209">
        <v>0</v>
      </c>
    </row>
    <row r="11" spans="2:15" x14ac:dyDescent="0.3">
      <c r="B11" s="169">
        <v>1084</v>
      </c>
      <c r="C11" s="170">
        <v>2000</v>
      </c>
      <c r="D11" s="170" t="s">
        <v>2</v>
      </c>
      <c r="E11" s="200">
        <f t="shared" si="0"/>
        <v>39974995.662638523</v>
      </c>
      <c r="F11" s="207"/>
      <c r="J11" s="169">
        <v>1084</v>
      </c>
      <c r="K11" s="170">
        <v>2000</v>
      </c>
      <c r="L11" s="170" t="s">
        <v>2</v>
      </c>
      <c r="M11" s="209">
        <v>8523967.6626385227</v>
      </c>
      <c r="N11" s="209">
        <v>31451028</v>
      </c>
      <c r="O11" s="209">
        <v>39974995.662638523</v>
      </c>
    </row>
    <row r="12" spans="2:15" x14ac:dyDescent="0.3">
      <c r="B12" s="171">
        <v>1084</v>
      </c>
      <c r="C12" s="170">
        <v>4001</v>
      </c>
      <c r="D12" s="170" t="s">
        <v>3</v>
      </c>
      <c r="E12" s="201">
        <f t="shared" si="0"/>
        <v>16010652</v>
      </c>
      <c r="F12" s="207"/>
      <c r="J12" s="171">
        <v>1084</v>
      </c>
      <c r="K12" s="170">
        <v>4001</v>
      </c>
      <c r="L12" s="170" t="s">
        <v>3</v>
      </c>
      <c r="M12" s="210">
        <v>0</v>
      </c>
      <c r="N12" s="210">
        <v>16010652</v>
      </c>
      <c r="O12" s="210">
        <v>16010652</v>
      </c>
    </row>
    <row r="13" spans="2:15" x14ac:dyDescent="0.3">
      <c r="B13" s="169">
        <v>1085</v>
      </c>
      <c r="C13" s="172">
        <v>3810</v>
      </c>
      <c r="D13" s="172" t="s">
        <v>62</v>
      </c>
      <c r="E13" s="200">
        <f t="shared" si="0"/>
        <v>236577793.8125</v>
      </c>
      <c r="F13" s="207"/>
      <c r="J13" s="169">
        <v>1085</v>
      </c>
      <c r="K13" s="172">
        <v>3810</v>
      </c>
      <c r="L13" s="172" t="s">
        <v>62</v>
      </c>
      <c r="M13" s="209">
        <v>198553261.8125</v>
      </c>
      <c r="N13" s="209">
        <v>38024532</v>
      </c>
      <c r="O13" s="209">
        <v>236577793.8125</v>
      </c>
    </row>
    <row r="14" spans="2:15" x14ac:dyDescent="0.3">
      <c r="B14" s="169">
        <v>1085</v>
      </c>
      <c r="C14" s="170">
        <v>3820</v>
      </c>
      <c r="D14" s="170" t="s">
        <v>75</v>
      </c>
      <c r="E14" s="200">
        <f t="shared" si="0"/>
        <v>550839.0077022817</v>
      </c>
      <c r="F14" s="207"/>
      <c r="J14" s="169">
        <v>1085</v>
      </c>
      <c r="K14" s="170">
        <v>3820</v>
      </c>
      <c r="L14" s="170" t="s">
        <v>75</v>
      </c>
      <c r="M14" s="209">
        <v>70499.007702281699</v>
      </c>
      <c r="N14" s="209">
        <v>480340</v>
      </c>
      <c r="O14" s="209">
        <v>550839.0077022817</v>
      </c>
    </row>
    <row r="15" spans="2:15" x14ac:dyDescent="0.3">
      <c r="B15" s="169">
        <v>1085</v>
      </c>
      <c r="C15" s="170">
        <v>3830</v>
      </c>
      <c r="D15" s="170" t="s">
        <v>63</v>
      </c>
      <c r="E15" s="200">
        <f t="shared" si="0"/>
        <v>377202738.02713668</v>
      </c>
      <c r="F15" s="207"/>
      <c r="J15" s="169">
        <v>1085</v>
      </c>
      <c r="K15" s="170">
        <v>3830</v>
      </c>
      <c r="L15" s="170" t="s">
        <v>63</v>
      </c>
      <c r="M15" s="209">
        <v>239841850.02713671</v>
      </c>
      <c r="N15" s="209">
        <v>137360888</v>
      </c>
      <c r="O15" s="209">
        <v>377202738.02713668</v>
      </c>
    </row>
    <row r="16" spans="2:15" x14ac:dyDescent="0.3">
      <c r="B16" s="171">
        <v>1085</v>
      </c>
      <c r="C16" s="173">
        <v>3840</v>
      </c>
      <c r="D16" s="173" t="s">
        <v>76</v>
      </c>
      <c r="E16" s="201">
        <f t="shared" si="0"/>
        <v>209009398.73728049</v>
      </c>
      <c r="F16" s="207"/>
      <c r="J16" s="171">
        <v>1085</v>
      </c>
      <c r="K16" s="173">
        <v>3840</v>
      </c>
      <c r="L16" s="173" t="s">
        <v>76</v>
      </c>
      <c r="M16" s="210">
        <v>108510.73728048662</v>
      </c>
      <c r="N16" s="210">
        <v>208900888</v>
      </c>
      <c r="O16" s="210">
        <v>209009398.73728049</v>
      </c>
    </row>
    <row r="17" spans="2:15" x14ac:dyDescent="0.3">
      <c r="B17" s="169">
        <v>1083</v>
      </c>
      <c r="C17" s="170">
        <v>4202</v>
      </c>
      <c r="D17" s="172" t="s">
        <v>77</v>
      </c>
      <c r="E17" s="200">
        <f t="shared" si="0"/>
        <v>2712388</v>
      </c>
      <c r="F17" s="207"/>
      <c r="J17" s="169">
        <v>1083</v>
      </c>
      <c r="K17" s="170">
        <v>4202</v>
      </c>
      <c r="L17" s="172" t="s">
        <v>77</v>
      </c>
      <c r="M17" s="209">
        <v>0</v>
      </c>
      <c r="N17" s="209">
        <v>2712388</v>
      </c>
      <c r="O17" s="209">
        <v>2712388</v>
      </c>
    </row>
    <row r="18" spans="2:15" x14ac:dyDescent="0.3">
      <c r="B18" s="169">
        <v>1083</v>
      </c>
      <c r="C18" s="170">
        <v>5000</v>
      </c>
      <c r="D18" s="170" t="s">
        <v>32</v>
      </c>
      <c r="E18" s="200">
        <f t="shared" si="0"/>
        <v>216664</v>
      </c>
      <c r="F18" s="207"/>
      <c r="J18" s="169">
        <v>1083</v>
      </c>
      <c r="K18" s="170">
        <v>5000</v>
      </c>
      <c r="L18" s="170" t="s">
        <v>32</v>
      </c>
      <c r="M18" s="209">
        <v>0</v>
      </c>
      <c r="N18" s="209">
        <v>216664</v>
      </c>
      <c r="O18" s="209">
        <v>216664</v>
      </c>
    </row>
    <row r="19" spans="2:15" x14ac:dyDescent="0.3">
      <c r="B19" s="169">
        <v>1083</v>
      </c>
      <c r="C19" s="170">
        <v>5501</v>
      </c>
      <c r="D19" s="170" t="s">
        <v>78</v>
      </c>
      <c r="E19" s="200">
        <f t="shared" si="0"/>
        <v>141036</v>
      </c>
      <c r="F19" s="207"/>
      <c r="J19" s="169">
        <v>1083</v>
      </c>
      <c r="K19" s="170">
        <v>5501</v>
      </c>
      <c r="L19" s="170" t="s">
        <v>78</v>
      </c>
      <c r="M19" s="209">
        <v>0</v>
      </c>
      <c r="N19" s="209">
        <v>141036</v>
      </c>
      <c r="O19" s="209">
        <v>141036</v>
      </c>
    </row>
    <row r="20" spans="2:15" x14ac:dyDescent="0.3">
      <c r="B20" s="169">
        <v>1083</v>
      </c>
      <c r="C20" s="170">
        <v>6007</v>
      </c>
      <c r="D20" s="170" t="s">
        <v>60</v>
      </c>
      <c r="E20" s="200">
        <f t="shared" si="0"/>
        <v>228928</v>
      </c>
      <c r="F20" s="207"/>
      <c r="J20" s="169">
        <v>1083</v>
      </c>
      <c r="K20" s="170">
        <v>6007</v>
      </c>
      <c r="L20" s="170" t="s">
        <v>60</v>
      </c>
      <c r="M20" s="209">
        <v>0</v>
      </c>
      <c r="N20" s="209">
        <v>228928</v>
      </c>
      <c r="O20" s="209">
        <v>228928</v>
      </c>
    </row>
    <row r="21" spans="2:15" x14ac:dyDescent="0.3">
      <c r="B21" s="169">
        <v>1083</v>
      </c>
      <c r="C21" s="170">
        <v>6008</v>
      </c>
      <c r="D21" s="170" t="s">
        <v>66</v>
      </c>
      <c r="E21" s="200">
        <f t="shared" si="0"/>
        <v>2283148</v>
      </c>
      <c r="F21" s="207"/>
      <c r="J21" s="169">
        <v>1083</v>
      </c>
      <c r="K21" s="170">
        <v>6008</v>
      </c>
      <c r="L21" s="170" t="s">
        <v>66</v>
      </c>
      <c r="M21" s="209">
        <v>0</v>
      </c>
      <c r="N21" s="209">
        <v>2283148</v>
      </c>
      <c r="O21" s="209">
        <v>2283148</v>
      </c>
    </row>
    <row r="22" spans="2:15" x14ac:dyDescent="0.3">
      <c r="B22" s="171">
        <v>1083</v>
      </c>
      <c r="C22" s="173">
        <v>6013</v>
      </c>
      <c r="D22" s="173" t="s">
        <v>59</v>
      </c>
      <c r="E22" s="201">
        <f t="shared" si="0"/>
        <v>0</v>
      </c>
      <c r="F22" s="207"/>
      <c r="J22" s="171">
        <v>1083</v>
      </c>
      <c r="K22" s="173">
        <v>6013</v>
      </c>
      <c r="L22" s="173" t="s">
        <v>59</v>
      </c>
      <c r="M22" s="210">
        <v>0</v>
      </c>
      <c r="N22" s="210">
        <v>0</v>
      </c>
      <c r="O22" s="210">
        <v>0</v>
      </c>
    </row>
    <row r="23" spans="2:15" x14ac:dyDescent="0.3">
      <c r="B23" s="169">
        <v>1082</v>
      </c>
      <c r="C23" s="170">
        <v>6006</v>
      </c>
      <c r="D23" s="170" t="s">
        <v>79</v>
      </c>
      <c r="E23" s="200">
        <f t="shared" si="0"/>
        <v>112420</v>
      </c>
      <c r="F23" s="207"/>
      <c r="J23" s="169">
        <v>1082</v>
      </c>
      <c r="K23" s="170">
        <v>6006</v>
      </c>
      <c r="L23" s="170" t="s">
        <v>79</v>
      </c>
      <c r="M23" s="209">
        <v>0</v>
      </c>
      <c r="N23" s="209">
        <v>112420</v>
      </c>
      <c r="O23" s="209">
        <v>112420</v>
      </c>
    </row>
    <row r="24" spans="2:15" x14ac:dyDescent="0.3">
      <c r="B24" s="169">
        <v>1082</v>
      </c>
      <c r="C24" s="170">
        <v>6650</v>
      </c>
      <c r="D24" s="170" t="s">
        <v>48</v>
      </c>
      <c r="E24" s="200">
        <f t="shared" si="0"/>
        <v>8864016.3938170411</v>
      </c>
      <c r="F24" s="207"/>
      <c r="J24" s="169">
        <v>1082</v>
      </c>
      <c r="K24" s="170">
        <v>6650</v>
      </c>
      <c r="L24" s="170" t="s">
        <v>48</v>
      </c>
      <c r="M24" s="209">
        <v>1493352.3938170411</v>
      </c>
      <c r="N24" s="209">
        <v>7370664</v>
      </c>
      <c r="O24" s="209">
        <v>8864016.3938170411</v>
      </c>
    </row>
    <row r="25" spans="2:15" x14ac:dyDescent="0.3">
      <c r="B25" s="169">
        <v>1082</v>
      </c>
      <c r="C25" s="170">
        <v>6620</v>
      </c>
      <c r="D25" s="170" t="s">
        <v>69</v>
      </c>
      <c r="E25" s="200">
        <f t="shared" si="0"/>
        <v>154563102</v>
      </c>
      <c r="F25" s="207"/>
      <c r="J25" s="169">
        <v>1082</v>
      </c>
      <c r="K25" s="170">
        <v>6620</v>
      </c>
      <c r="L25" s="170" t="s">
        <v>69</v>
      </c>
      <c r="M25" s="209">
        <v>152535454</v>
      </c>
      <c r="N25" s="209">
        <v>2027648</v>
      </c>
      <c r="O25" s="209">
        <v>154563102</v>
      </c>
    </row>
    <row r="26" spans="2:15" x14ac:dyDescent="0.3">
      <c r="B26" s="169">
        <v>1082</v>
      </c>
      <c r="C26" s="170">
        <v>7005</v>
      </c>
      <c r="D26" s="170" t="s">
        <v>49</v>
      </c>
      <c r="E26" s="200">
        <f t="shared" si="0"/>
        <v>3215212</v>
      </c>
      <c r="F26" s="207"/>
      <c r="J26" s="169">
        <v>1082</v>
      </c>
      <c r="K26" s="170">
        <v>7005</v>
      </c>
      <c r="L26" s="170" t="s">
        <v>49</v>
      </c>
      <c r="M26" s="209">
        <v>0</v>
      </c>
      <c r="N26" s="209">
        <v>3215212</v>
      </c>
      <c r="O26" s="209">
        <v>3215212</v>
      </c>
    </row>
    <row r="27" spans="2:15" x14ac:dyDescent="0.3">
      <c r="B27" s="171">
        <v>1082</v>
      </c>
      <c r="C27" s="173">
        <v>6630</v>
      </c>
      <c r="D27" s="173" t="s">
        <v>57</v>
      </c>
      <c r="E27" s="201">
        <f t="shared" si="0"/>
        <v>39686946</v>
      </c>
      <c r="F27" s="207"/>
      <c r="G27" s="177" t="s">
        <v>46</v>
      </c>
      <c r="J27" s="171">
        <v>1082</v>
      </c>
      <c r="K27" s="173">
        <v>6630</v>
      </c>
      <c r="L27" s="173" t="s">
        <v>57</v>
      </c>
      <c r="M27" s="210">
        <v>39525470</v>
      </c>
      <c r="N27" s="210">
        <v>161476</v>
      </c>
      <c r="O27" s="210">
        <v>39686946</v>
      </c>
    </row>
    <row r="28" spans="2:15" x14ac:dyDescent="0.3">
      <c r="B28" s="169">
        <v>1081</v>
      </c>
      <c r="C28" s="170">
        <v>8001</v>
      </c>
      <c r="D28" s="170" t="s">
        <v>61</v>
      </c>
      <c r="E28" s="200">
        <f t="shared" si="0"/>
        <v>100156</v>
      </c>
      <c r="F28" s="207"/>
      <c r="J28" s="169">
        <v>1081</v>
      </c>
      <c r="K28" s="170">
        <v>8001</v>
      </c>
      <c r="L28" s="170" t="s">
        <v>61</v>
      </c>
      <c r="M28" s="209">
        <v>0</v>
      </c>
      <c r="N28" s="209">
        <v>100156</v>
      </c>
      <c r="O28" s="209">
        <v>100156</v>
      </c>
    </row>
    <row r="29" spans="2:15" x14ac:dyDescent="0.3">
      <c r="B29" s="171">
        <v>1081</v>
      </c>
      <c r="C29" s="173">
        <v>8003</v>
      </c>
      <c r="D29" s="173" t="s">
        <v>83</v>
      </c>
      <c r="E29" s="201">
        <f t="shared" si="0"/>
        <v>96068</v>
      </c>
      <c r="F29" s="207"/>
      <c r="J29" s="171">
        <v>1081</v>
      </c>
      <c r="K29" s="173">
        <v>8003</v>
      </c>
      <c r="L29" s="173" t="s">
        <v>83</v>
      </c>
      <c r="M29" s="210">
        <v>0</v>
      </c>
      <c r="N29" s="210">
        <v>96068</v>
      </c>
      <c r="O29" s="210">
        <v>96068</v>
      </c>
    </row>
    <row r="30" spans="2:15" x14ac:dyDescent="0.3">
      <c r="E30" s="178"/>
      <c r="F30" s="178"/>
    </row>
    <row r="31" spans="2:15" x14ac:dyDescent="0.3">
      <c r="E31" s="178"/>
    </row>
    <row r="32" spans="2:15" x14ac:dyDescent="0.3">
      <c r="E32" s="178"/>
      <c r="G32" s="162" t="s">
        <v>54</v>
      </c>
      <c r="H32" s="163" t="s">
        <v>71</v>
      </c>
      <c r="I32" s="164" t="s">
        <v>56</v>
      </c>
    </row>
    <row r="33" spans="5:10" x14ac:dyDescent="0.3">
      <c r="E33" s="178"/>
      <c r="G33" s="165" t="s">
        <v>95</v>
      </c>
      <c r="H33" s="166">
        <v>1301</v>
      </c>
      <c r="I33" s="202">
        <v>100881620</v>
      </c>
    </row>
    <row r="34" spans="5:10" x14ac:dyDescent="0.3">
      <c r="E34" s="178"/>
      <c r="G34" s="165" t="s">
        <v>95</v>
      </c>
      <c r="H34" s="166">
        <v>1309</v>
      </c>
      <c r="I34" s="202">
        <v>797785464</v>
      </c>
    </row>
    <row r="35" spans="5:10" x14ac:dyDescent="0.3">
      <c r="E35" s="178"/>
      <c r="G35" s="165" t="s">
        <v>95</v>
      </c>
      <c r="H35" s="166">
        <v>1330</v>
      </c>
      <c r="I35" s="202">
        <v>90780172</v>
      </c>
    </row>
    <row r="36" spans="5:10" x14ac:dyDescent="0.3">
      <c r="E36" s="178"/>
      <c r="G36" s="165" t="s">
        <v>95</v>
      </c>
      <c r="H36" s="166">
        <v>1516</v>
      </c>
      <c r="I36" s="202">
        <v>14101556</v>
      </c>
    </row>
    <row r="37" spans="5:10" x14ac:dyDescent="0.3">
      <c r="E37" s="178"/>
      <c r="G37" s="165" t="s">
        <v>95</v>
      </c>
      <c r="H37" s="166">
        <v>2000</v>
      </c>
      <c r="I37" s="202">
        <v>31451028</v>
      </c>
    </row>
    <row r="38" spans="5:10" x14ac:dyDescent="0.3">
      <c r="G38" s="165" t="s">
        <v>95</v>
      </c>
      <c r="H38" s="187">
        <v>4001</v>
      </c>
      <c r="I38" s="203">
        <v>16010652</v>
      </c>
    </row>
    <row r="39" spans="5:10" x14ac:dyDescent="0.3">
      <c r="G39" s="165" t="s">
        <v>96</v>
      </c>
      <c r="H39" s="187">
        <v>2000</v>
      </c>
      <c r="I39" s="203">
        <v>8523967.6626385227</v>
      </c>
    </row>
    <row r="40" spans="5:10" x14ac:dyDescent="0.3">
      <c r="G40" s="165" t="s">
        <v>97</v>
      </c>
      <c r="H40" s="187">
        <v>1309</v>
      </c>
      <c r="I40" s="203">
        <v>9961726</v>
      </c>
    </row>
    <row r="41" spans="5:10" x14ac:dyDescent="0.3">
      <c r="G41" s="165" t="s">
        <v>98</v>
      </c>
      <c r="H41" s="166">
        <v>1516</v>
      </c>
      <c r="I41" s="203">
        <v>13416784.333936188</v>
      </c>
    </row>
    <row r="42" spans="5:10" x14ac:dyDescent="0.3">
      <c r="G42" s="162" t="s">
        <v>51</v>
      </c>
      <c r="H42" s="163"/>
      <c r="I42" s="204">
        <f>SUM(I33:I41)</f>
        <v>1082912969.9965746</v>
      </c>
      <c r="J42" s="178"/>
    </row>
    <row r="43" spans="5:10" x14ac:dyDescent="0.3">
      <c r="G43" s="197" t="s">
        <v>55</v>
      </c>
      <c r="H43" s="198"/>
      <c r="I43" s="205"/>
    </row>
    <row r="44" spans="5:10" x14ac:dyDescent="0.3">
      <c r="G44" s="165" t="s">
        <v>95</v>
      </c>
      <c r="H44" s="166">
        <v>3810</v>
      </c>
      <c r="I44" s="203">
        <v>38024532</v>
      </c>
    </row>
    <row r="45" spans="5:10" x14ac:dyDescent="0.3">
      <c r="G45" s="165" t="s">
        <v>95</v>
      </c>
      <c r="H45" s="166">
        <v>3820</v>
      </c>
      <c r="I45" s="203">
        <v>480340</v>
      </c>
    </row>
    <row r="46" spans="5:10" x14ac:dyDescent="0.3">
      <c r="G46" s="165" t="s">
        <v>95</v>
      </c>
      <c r="H46" s="166">
        <v>3830</v>
      </c>
      <c r="I46" s="203">
        <v>137360888</v>
      </c>
    </row>
    <row r="47" spans="5:10" x14ac:dyDescent="0.3">
      <c r="G47" s="165" t="s">
        <v>95</v>
      </c>
      <c r="H47" s="166">
        <v>3840</v>
      </c>
      <c r="I47" s="203">
        <v>208900888</v>
      </c>
    </row>
    <row r="48" spans="5:10" x14ac:dyDescent="0.3">
      <c r="G48" s="165" t="s">
        <v>103</v>
      </c>
      <c r="H48" s="166">
        <v>3810</v>
      </c>
      <c r="I48" s="203">
        <v>409234</v>
      </c>
    </row>
    <row r="49" spans="7:9" x14ac:dyDescent="0.3">
      <c r="G49" s="165" t="s">
        <v>104</v>
      </c>
      <c r="H49" s="166">
        <v>3810</v>
      </c>
      <c r="I49" s="203">
        <v>198074212</v>
      </c>
    </row>
    <row r="50" spans="7:9" x14ac:dyDescent="0.3">
      <c r="G50" s="165" t="s">
        <v>104</v>
      </c>
      <c r="H50" s="166">
        <v>3830</v>
      </c>
      <c r="I50" s="203">
        <v>239741473</v>
      </c>
    </row>
    <row r="51" spans="7:9" x14ac:dyDescent="0.3">
      <c r="G51" s="165" t="s">
        <v>105</v>
      </c>
      <c r="H51" s="166">
        <v>3820</v>
      </c>
      <c r="I51" s="203">
        <v>70499.007702281699</v>
      </c>
    </row>
    <row r="52" spans="7:9" x14ac:dyDescent="0.3">
      <c r="G52" s="165" t="s">
        <v>105</v>
      </c>
      <c r="H52" s="166">
        <v>3830</v>
      </c>
      <c r="I52" s="203">
        <v>100377.02713670873</v>
      </c>
    </row>
    <row r="53" spans="7:9" x14ac:dyDescent="0.3">
      <c r="G53" s="165" t="s">
        <v>105</v>
      </c>
      <c r="H53" s="166">
        <v>3840</v>
      </c>
      <c r="I53" s="203">
        <v>108510.73728048662</v>
      </c>
    </row>
    <row r="54" spans="7:9" x14ac:dyDescent="0.3">
      <c r="G54" s="165" t="s">
        <v>106</v>
      </c>
      <c r="H54" s="166">
        <v>3810</v>
      </c>
      <c r="I54" s="203">
        <v>69815.8125</v>
      </c>
    </row>
    <row r="55" spans="7:9" x14ac:dyDescent="0.3">
      <c r="G55" s="162" t="s">
        <v>51</v>
      </c>
      <c r="H55" s="199"/>
      <c r="I55" s="204">
        <f>SUM(I44:I54)</f>
        <v>823340769.5846194</v>
      </c>
    </row>
    <row r="56" spans="7:9" x14ac:dyDescent="0.3">
      <c r="G56" s="197" t="s">
        <v>53</v>
      </c>
      <c r="H56" s="198"/>
      <c r="I56" s="205"/>
    </row>
    <row r="57" spans="7:9" x14ac:dyDescent="0.3">
      <c r="G57" s="165" t="s">
        <v>95</v>
      </c>
      <c r="H57" s="166">
        <v>4202</v>
      </c>
      <c r="I57" s="203">
        <v>2712388</v>
      </c>
    </row>
    <row r="58" spans="7:9" x14ac:dyDescent="0.3">
      <c r="G58" s="165" t="s">
        <v>95</v>
      </c>
      <c r="H58" s="166">
        <v>5000</v>
      </c>
      <c r="I58" s="203">
        <v>216664</v>
      </c>
    </row>
    <row r="59" spans="7:9" x14ac:dyDescent="0.3">
      <c r="G59" s="165" t="s">
        <v>95</v>
      </c>
      <c r="H59" s="166">
        <v>5501</v>
      </c>
      <c r="I59" s="203">
        <v>141036</v>
      </c>
    </row>
    <row r="60" spans="7:9" x14ac:dyDescent="0.3">
      <c r="G60" s="165" t="s">
        <v>95</v>
      </c>
      <c r="H60" s="166">
        <v>6007</v>
      </c>
      <c r="I60" s="203">
        <v>228928</v>
      </c>
    </row>
    <row r="61" spans="7:9" ht="12.75" customHeight="1" x14ac:dyDescent="0.3">
      <c r="G61" s="165" t="s">
        <v>95</v>
      </c>
      <c r="H61" s="166">
        <v>6008</v>
      </c>
      <c r="I61" s="203">
        <v>2283148</v>
      </c>
    </row>
    <row r="62" spans="7:9" x14ac:dyDescent="0.3">
      <c r="G62" s="162" t="s">
        <v>51</v>
      </c>
      <c r="H62" s="199"/>
      <c r="I62" s="204">
        <f>SUM(I57:I61)</f>
        <v>5582164</v>
      </c>
    </row>
    <row r="63" spans="7:9" x14ac:dyDescent="0.3">
      <c r="G63" s="197" t="s">
        <v>52</v>
      </c>
      <c r="H63" s="198"/>
      <c r="I63" s="205"/>
    </row>
    <row r="64" spans="7:9" x14ac:dyDescent="0.3">
      <c r="G64" s="165" t="s">
        <v>95</v>
      </c>
      <c r="H64" s="166">
        <v>6006</v>
      </c>
      <c r="I64" s="203">
        <v>112420</v>
      </c>
    </row>
    <row r="65" spans="7:10" x14ac:dyDescent="0.3">
      <c r="G65" s="165" t="s">
        <v>95</v>
      </c>
      <c r="H65" s="166">
        <v>6650</v>
      </c>
      <c r="I65" s="203">
        <v>7370664</v>
      </c>
    </row>
    <row r="66" spans="7:10" x14ac:dyDescent="0.3">
      <c r="G66" s="165" t="s">
        <v>95</v>
      </c>
      <c r="H66" s="166">
        <v>6620</v>
      </c>
      <c r="I66" s="203">
        <v>2027648</v>
      </c>
    </row>
    <row r="67" spans="7:10" x14ac:dyDescent="0.3">
      <c r="G67" s="165" t="s">
        <v>95</v>
      </c>
      <c r="H67" s="166">
        <v>7005</v>
      </c>
      <c r="I67" s="203">
        <v>3215212</v>
      </c>
    </row>
    <row r="68" spans="7:10" x14ac:dyDescent="0.3">
      <c r="G68" s="165" t="s">
        <v>95</v>
      </c>
      <c r="H68" s="166">
        <v>6630</v>
      </c>
      <c r="I68" s="203">
        <v>161476</v>
      </c>
    </row>
    <row r="69" spans="7:10" x14ac:dyDescent="0.3">
      <c r="G69" s="165" t="s">
        <v>99</v>
      </c>
      <c r="H69" s="166">
        <v>6650</v>
      </c>
      <c r="I69" s="203">
        <v>123972.39381704107</v>
      </c>
    </row>
    <row r="70" spans="7:10" x14ac:dyDescent="0.3">
      <c r="G70" s="165" t="s">
        <v>100</v>
      </c>
      <c r="H70" s="166">
        <v>6650</v>
      </c>
      <c r="I70" s="203">
        <v>1369380</v>
      </c>
    </row>
    <row r="71" spans="7:10" x14ac:dyDescent="0.3">
      <c r="G71" s="165" t="s">
        <v>101</v>
      </c>
      <c r="H71" s="166">
        <v>6620</v>
      </c>
      <c r="I71" s="203">
        <v>152535454</v>
      </c>
    </row>
    <row r="72" spans="7:10" x14ac:dyDescent="0.3">
      <c r="G72" s="165" t="s">
        <v>102</v>
      </c>
      <c r="H72" s="166">
        <v>6630</v>
      </c>
      <c r="I72" s="203">
        <v>39525470</v>
      </c>
    </row>
    <row r="73" spans="7:10" x14ac:dyDescent="0.3">
      <c r="G73" s="162" t="s">
        <v>51</v>
      </c>
      <c r="H73" s="163"/>
      <c r="I73" s="204"/>
    </row>
    <row r="74" spans="7:10" x14ac:dyDescent="0.3">
      <c r="G74" s="197" t="s">
        <v>50</v>
      </c>
      <c r="H74" s="198"/>
      <c r="I74" s="205">
        <f>SUM(I64:I72)</f>
        <v>206441696.39381704</v>
      </c>
      <c r="J74" s="177" t="s">
        <v>46</v>
      </c>
    </row>
    <row r="75" spans="7:10" x14ac:dyDescent="0.3">
      <c r="G75" s="165" t="s">
        <v>95</v>
      </c>
      <c r="H75" s="166">
        <v>8001</v>
      </c>
      <c r="I75" s="203">
        <v>100156</v>
      </c>
    </row>
    <row r="76" spans="7:10" x14ac:dyDescent="0.3">
      <c r="G76" s="165" t="s">
        <v>95</v>
      </c>
      <c r="H76" s="166">
        <v>8003</v>
      </c>
      <c r="I76" s="203">
        <v>96068</v>
      </c>
    </row>
    <row r="77" spans="7:10" x14ac:dyDescent="0.3">
      <c r="G77" s="162" t="s">
        <v>51</v>
      </c>
      <c r="H77" s="163"/>
      <c r="I77" s="204">
        <f>SUM(I75:I76)</f>
        <v>196224</v>
      </c>
    </row>
  </sheetData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zoomScaleNormal="100" workbookViewId="0">
      <selection activeCell="E12" sqref="E12"/>
    </sheetView>
  </sheetViews>
  <sheetFormatPr defaultColWidth="9.1796875" defaultRowHeight="11.5" x14ac:dyDescent="0.25"/>
  <cols>
    <col min="1" max="1" width="8.54296875" style="1" customWidth="1"/>
    <col min="2" max="2" width="39.26953125" style="1" customWidth="1"/>
    <col min="3" max="9" width="10" style="2" customWidth="1"/>
    <col min="10" max="10" width="19.26953125" style="2" customWidth="1"/>
    <col min="11" max="11" width="5.81640625" style="1" customWidth="1"/>
    <col min="12" max="16384" width="9.1796875" style="1"/>
  </cols>
  <sheetData>
    <row r="1" spans="1:14" s="24" customFormat="1" ht="15.5" x14ac:dyDescent="0.35">
      <c r="A1" s="72" t="s">
        <v>114</v>
      </c>
      <c r="C1" s="26"/>
      <c r="D1" s="26"/>
      <c r="E1" s="26"/>
      <c r="F1" s="38" t="s">
        <v>85</v>
      </c>
      <c r="G1" s="26"/>
      <c r="H1" s="26">
        <v>1.016</v>
      </c>
      <c r="I1" s="26"/>
      <c r="J1" s="26"/>
    </row>
    <row r="2" spans="1:14" s="24" customFormat="1" ht="13.5" customHeight="1" x14ac:dyDescent="0.3">
      <c r="A2" s="31" t="s">
        <v>84</v>
      </c>
      <c r="C2" s="26"/>
      <c r="D2" s="26"/>
      <c r="E2" s="27"/>
      <c r="F2" s="27"/>
      <c r="G2" s="27"/>
      <c r="H2" s="28"/>
      <c r="I2" s="32"/>
      <c r="J2" s="28"/>
    </row>
    <row r="3" spans="1:14" s="24" customFormat="1" ht="13.5" customHeight="1" x14ac:dyDescent="0.3">
      <c r="A3" s="33" t="s">
        <v>34</v>
      </c>
      <c r="C3" s="26"/>
      <c r="D3" s="26"/>
      <c r="E3" s="27"/>
      <c r="F3" s="27"/>
      <c r="G3" s="27"/>
      <c r="H3" s="28"/>
      <c r="I3" s="27"/>
      <c r="J3" s="28"/>
    </row>
    <row r="4" spans="1:14" s="24" customFormat="1" ht="54" customHeight="1" x14ac:dyDescent="0.25">
      <c r="A4" s="73" t="s">
        <v>6</v>
      </c>
      <c r="B4" s="73" t="s">
        <v>0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15</v>
      </c>
      <c r="L4" s="176"/>
    </row>
    <row r="5" spans="1:14" s="24" customFormat="1" ht="13.5" customHeight="1" x14ac:dyDescent="0.25">
      <c r="A5" s="74">
        <f>+'(skema1-7_2017 - 17pl)'!A5</f>
        <v>1301</v>
      </c>
      <c r="B5" s="4" t="str">
        <f>+'(skema1-7_2017 - 17pl)'!B5</f>
        <v>Rigshospitalet</v>
      </c>
      <c r="C5" s="76">
        <f>+'(skema1-7_2017 - 17pl)'!C5*'Skema1-7_2017'!$H$1</f>
        <v>6269410.7650497602</v>
      </c>
      <c r="D5" s="29">
        <f>+'(skema1-7_2017 - 17pl)'!D5*'Skema1-7_2017'!$H$1</f>
        <v>526229.06953923684</v>
      </c>
      <c r="E5" s="29">
        <f>+'(skema1-7_2017 - 17pl)'!E5*'Skema1-7_2017'!$H$1</f>
        <v>730074.63571556623</v>
      </c>
      <c r="F5" s="29">
        <f>+'(skema1-7_2017 - 17pl)'!F5*'Skema1-7_2017'!$H$1</f>
        <v>0</v>
      </c>
      <c r="G5" s="29">
        <f>+'(skema1-7_2017 - 17pl)'!G5*'Skema1-7_2017'!$H$1</f>
        <v>40743.413692080001</v>
      </c>
      <c r="H5" s="29">
        <f>+'(skema1-7_2017 - 17pl)'!H5*'Skema1-7_2017'!$H$1</f>
        <v>-1956398.5766421629</v>
      </c>
      <c r="I5" s="29">
        <f>+'(skema1-7_2017 - 17pl)'!I5*'Skema1-7_2017'!$H$1</f>
        <v>23948.437567495603</v>
      </c>
      <c r="J5" s="9">
        <f>+SUM(C5:E5) - SUM(F5:I5)-L5</f>
        <v>9417421.1956871506</v>
      </c>
      <c r="L5" s="16"/>
      <c r="N5" s="35"/>
    </row>
    <row r="6" spans="1:14" s="24" customFormat="1" ht="13.5" customHeight="1" x14ac:dyDescent="0.25">
      <c r="A6" s="75">
        <f>+'(skema1-7_2017 - 17pl)'!A6</f>
        <v>1309</v>
      </c>
      <c r="B6" s="7" t="str">
        <f>+'(skema1-7_2017 - 17pl)'!B6</f>
        <v>Bispebjerg og Frederiksberg Hospital</v>
      </c>
      <c r="C6" s="76">
        <f>+'(skema1-7_2017 - 17pl)'!C6*'Skema1-7_2017'!$H$1</f>
        <v>2121846.4613227197</v>
      </c>
      <c r="D6" s="29">
        <f>+'(skema1-7_2017 - 17pl)'!D6*'Skema1-7_2017'!$H$1</f>
        <v>125288.16825406979</v>
      </c>
      <c r="E6" s="29">
        <f>+'(skema1-7_2017 - 17pl)'!E6*'Skema1-7_2017'!$H$1</f>
        <v>194333.25074486836</v>
      </c>
      <c r="F6" s="29">
        <f>+'(skema1-7_2017 - 17pl)'!F6*'Skema1-7_2017'!$H$1</f>
        <v>0</v>
      </c>
      <c r="G6" s="29">
        <f>+'(skema1-7_2017 - 17pl)'!G6*'Skema1-7_2017'!$H$1</f>
        <v>16369.07427728</v>
      </c>
      <c r="H6" s="29">
        <f>+'(skema1-7_2017 - 17pl)'!H6*'Skema1-7_2017'!$H$1</f>
        <v>21594.674353224946</v>
      </c>
      <c r="I6" s="29">
        <f>+'(skema1-7_2017 - 17pl)'!I6*'Skema1-7_2017'!$H$1</f>
        <v>-22900.768801277583</v>
      </c>
      <c r="J6" s="9">
        <f t="shared" ref="J6:J10" si="0">+SUM(C6:E6) - SUM(F6:I6)-L6</f>
        <v>2426404.9004924307</v>
      </c>
      <c r="L6" s="16"/>
      <c r="N6" s="35"/>
    </row>
    <row r="7" spans="1:14" s="24" customFormat="1" ht="13.5" customHeight="1" x14ac:dyDescent="0.25">
      <c r="A7" s="75">
        <f>+'(skema1-7_2017 - 17pl)'!A7</f>
        <v>1330</v>
      </c>
      <c r="B7" s="7" t="str">
        <f>+'(skema1-7_2017 - 17pl)'!B7</f>
        <v>Amager og Hvidovre Hospital</v>
      </c>
      <c r="C7" s="76">
        <f>+'(skema1-7_2017 - 17pl)'!C7*'Skema1-7_2017'!$H$1</f>
        <v>2706064.3699381598</v>
      </c>
      <c r="D7" s="29">
        <f>+'(skema1-7_2017 - 17pl)'!D7*'Skema1-7_2017'!$H$1</f>
        <v>159108.02214142532</v>
      </c>
      <c r="E7" s="29">
        <f>+'(skema1-7_2017 - 17pl)'!E7*'Skema1-7_2017'!$H$1</f>
        <v>246160.14855737617</v>
      </c>
      <c r="F7" s="29">
        <f>+'(skema1-7_2017 - 17pl)'!F7*'Skema1-7_2017'!$H$1</f>
        <v>0</v>
      </c>
      <c r="G7" s="29">
        <f>+'(skema1-7_2017 - 17pl)'!G7*'Skema1-7_2017'!$H$1</f>
        <v>18643.940959439999</v>
      </c>
      <c r="H7" s="29">
        <f>+'(skema1-7_2017 - 17pl)'!H7*'Skema1-7_2017'!$H$1</f>
        <v>-1064.9113575197384</v>
      </c>
      <c r="I7" s="29">
        <f>+'(skema1-7_2017 - 17pl)'!I7*'Skema1-7_2017'!$H$1</f>
        <v>30511.658115896433</v>
      </c>
      <c r="J7" s="9">
        <f t="shared" si="0"/>
        <v>3063241.8529191446</v>
      </c>
      <c r="L7" s="16"/>
      <c r="N7" s="35"/>
    </row>
    <row r="8" spans="1:14" s="24" customFormat="1" ht="13.5" customHeight="1" x14ac:dyDescent="0.25">
      <c r="A8" s="75">
        <f>+'(skema1-7_2017 - 17pl)'!A8</f>
        <v>1516</v>
      </c>
      <c r="B8" s="7" t="str">
        <f>+'(skema1-7_2017 - 17pl)'!B8</f>
        <v>Herlev og Gentofte Hospital</v>
      </c>
      <c r="C8" s="76">
        <f>+'(skema1-7_2017 - 17pl)'!C8*'Skema1-7_2017'!$H$1</f>
        <v>4457417.2415916799</v>
      </c>
      <c r="D8" s="29">
        <f>+'(skema1-7_2017 - 17pl)'!D8*'Skema1-7_2017'!$H$1</f>
        <v>286061.73504049046</v>
      </c>
      <c r="E8" s="29">
        <f>+'(skema1-7_2017 - 17pl)'!E8*'Skema1-7_2017'!$H$1</f>
        <v>412012.50214654388</v>
      </c>
      <c r="F8" s="29">
        <f>+'(skema1-7_2017 - 17pl)'!F8*'Skema1-7_2017'!$H$1</f>
        <v>0</v>
      </c>
      <c r="G8" s="29">
        <f>+'(skema1-7_2017 - 17pl)'!G8*'Skema1-7_2017'!$H$1</f>
        <v>33629.414153279999</v>
      </c>
      <c r="H8" s="29">
        <f>+'(skema1-7_2017 - 17pl)'!H8*'Skema1-7_2017'!$H$1</f>
        <v>-132383.91096673618</v>
      </c>
      <c r="I8" s="29">
        <f>+'(skema1-7_2017 - 17pl)'!I8*'Skema1-7_2017'!$H$1</f>
        <v>-11859.076964071075</v>
      </c>
      <c r="J8" s="9">
        <f t="shared" si="0"/>
        <v>5266105.0525562419</v>
      </c>
      <c r="L8" s="16"/>
      <c r="N8" s="35"/>
    </row>
    <row r="9" spans="1:14" s="24" customFormat="1" ht="13.5" customHeight="1" x14ac:dyDescent="0.25">
      <c r="A9" s="75">
        <f>+'(skema1-7_2017 - 17pl)'!A9</f>
        <v>1507</v>
      </c>
      <c r="B9" s="7" t="str">
        <f>+'(skema1-7_2017 - 17pl)'!B9</f>
        <v>Steno Diabetes Center Copenhagen</v>
      </c>
      <c r="C9" s="76">
        <f>+'(skema1-7_2017 - 17pl)'!C9*'Skema1-7_2017'!$H$1</f>
        <v>51501.716229279969</v>
      </c>
      <c r="D9" s="29">
        <f>+'(skema1-7_2017 - 17pl)'!D9*'Skema1-7_2017'!$H$1</f>
        <v>3500.2598697199496</v>
      </c>
      <c r="E9" s="29">
        <f>+'(skema1-7_2017 - 17pl)'!E9*'Skema1-7_2017'!$H$1</f>
        <v>5650.6988227735555</v>
      </c>
      <c r="F9" s="29">
        <f>+'(skema1-7_2017 - 17pl)'!F9*'Skema1-7_2017'!$H$1</f>
        <v>0</v>
      </c>
      <c r="G9" s="29">
        <f>+'(skema1-7_2017 - 17pl)'!G9*'Skema1-7_2017'!$H$1</f>
        <v>0</v>
      </c>
      <c r="H9" s="29">
        <f>+'(skema1-7_2017 - 17pl)'!H9*'Skema1-7_2017'!$H$1</f>
        <v>-12701.361025087239</v>
      </c>
      <c r="I9" s="29">
        <f>+'(skema1-7_2017 - 17pl)'!I9*'Skema1-7_2017'!$H$1</f>
        <v>42.60106818615958</v>
      </c>
      <c r="J9" s="9">
        <f t="shared" ref="J9" si="1">+SUM(C9:E9) - SUM(F9:I9)-L9</f>
        <v>73311.434878674554</v>
      </c>
      <c r="L9" s="16"/>
      <c r="N9" s="35"/>
    </row>
    <row r="10" spans="1:14" s="24" customFormat="1" ht="13.5" customHeight="1" x14ac:dyDescent="0.25">
      <c r="A10" s="75">
        <f>+'(skema1-7_2017 - 17pl)'!A10</f>
        <v>2000</v>
      </c>
      <c r="B10" s="7" t="str">
        <f>+'(skema1-7_2017 - 17pl)'!B10</f>
        <v>Nordsjællands Hospital</v>
      </c>
      <c r="C10" s="76">
        <f>+'(skema1-7_2017 - 17pl)'!C10*'Skema1-7_2017'!$H$1</f>
        <v>2271027.4767218395</v>
      </c>
      <c r="D10" s="29">
        <f>+'(skema1-7_2017 - 17pl)'!D10*'Skema1-7_2017'!$H$1</f>
        <v>131343.40402033186</v>
      </c>
      <c r="E10" s="29">
        <f>+'(skema1-7_2017 - 17pl)'!E10*'Skema1-7_2017'!$H$1</f>
        <v>203056.27026461938</v>
      </c>
      <c r="F10" s="29">
        <f>+'(skema1-7_2017 - 17pl)'!F10*'Skema1-7_2017'!$H$1</f>
        <v>0</v>
      </c>
      <c r="G10" s="29">
        <f>+'(skema1-7_2017 - 17pl)'!G10*'Skema1-7_2017'!$H$1</f>
        <v>17191.939078079999</v>
      </c>
      <c r="H10" s="29">
        <f>+'(skema1-7_2017 - 17pl)'!H10*'Skema1-7_2017'!$H$1</f>
        <v>81850.062631318069</v>
      </c>
      <c r="I10" s="29">
        <f>+'(skema1-7_2017 - 17pl)'!I10*'Skema1-7_2017'!$H$1</f>
        <v>-11794.07295778445</v>
      </c>
      <c r="J10" s="9">
        <f t="shared" si="0"/>
        <v>2518179.2222551773</v>
      </c>
      <c r="L10" s="16"/>
      <c r="N10" s="35"/>
    </row>
    <row r="11" spans="1:14" s="24" customFormat="1" ht="13.5" customHeight="1" x14ac:dyDescent="0.25">
      <c r="A11" s="75">
        <f>+'(skema1-7_2017 - 17pl)'!A11</f>
        <v>4001</v>
      </c>
      <c r="B11" s="7" t="str">
        <f>+'(skema1-7_2017 - 17pl)'!B11</f>
        <v>Bornholms Hospital</v>
      </c>
      <c r="C11" s="76">
        <f>+'(skema1-7_2017 - 17pl)'!C11*'Skema1-7_2017'!$H$1</f>
        <v>413800.29520191997</v>
      </c>
      <c r="D11" s="29">
        <f>+'(skema1-7_2017 - 17pl)'!D11*'Skema1-7_2017'!$H$1</f>
        <v>23878.593082478423</v>
      </c>
      <c r="E11" s="29">
        <f>+'(skema1-7_2017 - 17pl)'!E11*'Skema1-7_2017'!$H$1</f>
        <v>36672.779583886782</v>
      </c>
      <c r="F11" s="29">
        <f>+'(skema1-7_2017 - 17pl)'!F11*'Skema1-7_2017'!$H$1</f>
        <v>0</v>
      </c>
      <c r="G11" s="29">
        <f>+'(skema1-7_2017 - 17pl)'!G11*'Skema1-7_2017'!$H$1</f>
        <v>1609.84083416</v>
      </c>
      <c r="H11" s="29">
        <f>+'(skema1-7_2017 - 17pl)'!H11*'Skema1-7_2017'!$H$1</f>
        <v>35060.305831467762</v>
      </c>
      <c r="I11" s="29">
        <f>+'(skema1-7_2017 - 17pl)'!I11*'Skema1-7_2017'!$H$1</f>
        <v>7662.6963006906262</v>
      </c>
      <c r="J11" s="9">
        <f t="shared" ref="J11:J12" si="2">+SUM(C11:E11) - SUM(F11:I11)</f>
        <v>430018.82490196684</v>
      </c>
      <c r="N11" s="35"/>
    </row>
    <row r="12" spans="1:14" s="24" customFormat="1" ht="13.5" customHeight="1" x14ac:dyDescent="0.25">
      <c r="A12" s="75">
        <f>+'(skema1-7_2017 - 17pl)'!A12</f>
        <v>3810</v>
      </c>
      <c r="B12" s="7" t="str">
        <f>+'(skema1-7_2017 - 17pl)'!B12</f>
        <v>Sjællands Universitetshospital</v>
      </c>
      <c r="C12" s="76">
        <f>+'(skema1-7_2017 - 17pl)'!C12*'Skema1-7_2017'!$H$1</f>
        <v>3464787.7313200003</v>
      </c>
      <c r="D12" s="29">
        <f>+'(skema1-7_2017 - 17pl)'!D12*'Skema1-7_2017'!$H$1</f>
        <v>306685.70920800004</v>
      </c>
      <c r="E12" s="29">
        <f>+'(skema1-7_2017 - 17pl)'!E12*'Skema1-7_2017'!$H$1</f>
        <v>169552.32535999999</v>
      </c>
      <c r="F12" s="29">
        <f>+'(skema1-7_2017 - 17pl)'!F12*'Skema1-7_2017'!$H$1</f>
        <v>0</v>
      </c>
      <c r="G12" s="29">
        <f>+'(skema1-7_2017 - 17pl)'!G12*'Skema1-7_2017'!$H$1</f>
        <v>24430.228088178119</v>
      </c>
      <c r="H12" s="29">
        <f>+'(skema1-7_2017 - 17pl)'!H12*'Skema1-7_2017'!$H$1</f>
        <v>111701.29753647608</v>
      </c>
      <c r="I12" s="29">
        <f>+'(skema1-7_2017 - 17pl)'!I12*'Skema1-7_2017'!$H$1</f>
        <v>-49069.558598081996</v>
      </c>
      <c r="J12" s="9">
        <f t="shared" si="2"/>
        <v>3853963.7988614282</v>
      </c>
      <c r="N12" s="35"/>
    </row>
    <row r="13" spans="1:14" s="24" customFormat="1" ht="13.5" customHeight="1" x14ac:dyDescent="0.25">
      <c r="A13" s="75">
        <f>+'(skema1-7_2017 - 17pl)'!A13</f>
        <v>3820</v>
      </c>
      <c r="B13" s="7" t="str">
        <f>+'(skema1-7_2017 - 17pl)'!B13</f>
        <v>Holbæk Sygehus</v>
      </c>
      <c r="C13" s="76">
        <f>+'(skema1-7_2017 - 17pl)'!C13*'Skema1-7_2017'!$H$1</f>
        <v>1128859.0256404001</v>
      </c>
      <c r="D13" s="29">
        <f>+'(skema1-7_2017 - 17pl)'!D13*'Skema1-7_2017'!$H$1</f>
        <v>131521.14716799994</v>
      </c>
      <c r="E13" s="29">
        <f>+'(skema1-7_2017 - 17pl)'!E13*'Skema1-7_2017'!$H$1</f>
        <v>62927.657736000001</v>
      </c>
      <c r="F13" s="29">
        <f>+'(skema1-7_2017 - 17pl)'!F13*'Skema1-7_2017'!$H$1</f>
        <v>0</v>
      </c>
      <c r="G13" s="29">
        <f>+'(skema1-7_2017 - 17pl)'!G13*'Skema1-7_2017'!$H$1</f>
        <v>16980.045152878876</v>
      </c>
      <c r="H13" s="29">
        <f>+'(skema1-7_2017 - 17pl)'!H13*'Skema1-7_2017'!$H$1</f>
        <v>30410.740836511402</v>
      </c>
      <c r="I13" s="29">
        <f>+'(skema1-7_2017 - 17pl)'!I13*'Skema1-7_2017'!$H$1</f>
        <v>-36953.010583409894</v>
      </c>
      <c r="J13" s="9">
        <f>+SUM(C13:E13) - SUM(F13:I13)</f>
        <v>1312870.0551384196</v>
      </c>
      <c r="K13" s="34"/>
      <c r="N13" s="35"/>
    </row>
    <row r="14" spans="1:14" s="24" customFormat="1" ht="13.5" customHeight="1" x14ac:dyDescent="0.25">
      <c r="A14" s="75">
        <f>+'(skema1-7_2017 - 17pl)'!A14</f>
        <v>3830</v>
      </c>
      <c r="B14" s="7" t="str">
        <f>+'(skema1-7_2017 - 17pl)'!B14</f>
        <v>Næstved, Slagelse og Ringsted sygehuse</v>
      </c>
      <c r="C14" s="76">
        <f>+'(skema1-7_2017 - 17pl)'!C14*'Skema1-7_2017'!$H$1</f>
        <v>2037461.8279688801</v>
      </c>
      <c r="D14" s="29">
        <f>+'(skema1-7_2017 - 17pl)'!D14*'Skema1-7_2017'!$H$1</f>
        <v>269851.73969599995</v>
      </c>
      <c r="E14" s="29">
        <f>+'(skema1-7_2017 - 17pl)'!E14*'Skema1-7_2017'!$H$1</f>
        <v>112977.338688</v>
      </c>
      <c r="F14" s="29">
        <f>+'(skema1-7_2017 - 17pl)'!F14*'Skema1-7_2017'!$H$1</f>
        <v>0</v>
      </c>
      <c r="G14" s="29">
        <f>+'(skema1-7_2017 - 17pl)'!G14*'Skema1-7_2017'!$H$1</f>
        <v>36143.721270960006</v>
      </c>
      <c r="H14" s="29">
        <f>+'(skema1-7_2017 - 17pl)'!H14*'Skema1-7_2017'!$H$1</f>
        <v>124802.24460878957</v>
      </c>
      <c r="I14" s="29">
        <f>+'(skema1-7_2017 - 17pl)'!I14*'Skema1-7_2017'!$H$1</f>
        <v>139895.27684783834</v>
      </c>
      <c r="J14" s="9">
        <f>+SUM(C14:E14) - SUM(F14:I14)</f>
        <v>2119449.663625292</v>
      </c>
      <c r="K14" s="34"/>
      <c r="N14" s="35"/>
    </row>
    <row r="15" spans="1:14" s="24" customFormat="1" ht="13.5" customHeight="1" x14ac:dyDescent="0.25">
      <c r="A15" s="75">
        <f>+'(skema1-7_2017 - 17pl)'!A15</f>
        <v>3840</v>
      </c>
      <c r="B15" s="7" t="str">
        <f>+'(skema1-7_2017 - 17pl)'!B15</f>
        <v>Nykøbing Sygehus</v>
      </c>
      <c r="C15" s="76">
        <f>+'(skema1-7_2017 - 17pl)'!C15*'Skema1-7_2017'!$H$1</f>
        <v>812993.55003199994</v>
      </c>
      <c r="D15" s="29">
        <f>+'(skema1-7_2017 - 17pl)'!D15*'Skema1-7_2017'!$H$1</f>
        <v>100298.33229600001</v>
      </c>
      <c r="E15" s="29">
        <f>+'(skema1-7_2017 - 17pl)'!E15*'Skema1-7_2017'!$H$1</f>
        <v>47784.361632</v>
      </c>
      <c r="F15" s="29">
        <f>+'(skema1-7_2017 - 17pl)'!F15*'Skema1-7_2017'!$H$1</f>
        <v>0</v>
      </c>
      <c r="G15" s="29">
        <f>+'(skema1-7_2017 - 17pl)'!G15*'Skema1-7_2017'!$H$1</f>
        <v>8833.1820443244815</v>
      </c>
      <c r="H15" s="29">
        <f>+'(skema1-7_2017 - 17pl)'!H15*'Skema1-7_2017'!$H$1</f>
        <v>29292.792465646638</v>
      </c>
      <c r="I15" s="29">
        <f>+'(skema1-7_2017 - 17pl)'!I15*'Skema1-7_2017'!$H$1</f>
        <v>-46447.386271307754</v>
      </c>
      <c r="J15" s="9">
        <f>+SUM(C15:E15) - SUM(F15:I15)</f>
        <v>969397.65572133649</v>
      </c>
      <c r="K15" s="34"/>
      <c r="N15" s="35"/>
    </row>
    <row r="16" spans="1:14" s="24" customFormat="1" ht="13.5" customHeight="1" x14ac:dyDescent="0.25">
      <c r="A16" s="75">
        <f>+'(skema1-7_2017 - 17pl)'!A16</f>
        <v>4202</v>
      </c>
      <c r="B16" s="7" t="str">
        <f>+'(skema1-7_2017 - 17pl)'!B16</f>
        <v>Odense Universitetshospital</v>
      </c>
      <c r="C16" s="76">
        <f>+'(skema1-7_2017 - 17pl)'!C16*'Skema1-7_2017'!$H$1</f>
        <v>6937600.8502772804</v>
      </c>
      <c r="D16" s="29">
        <f>+'(skema1-7_2017 - 17pl)'!D16*'Skema1-7_2017'!$H$1</f>
        <v>187193.93600000002</v>
      </c>
      <c r="E16" s="29">
        <f>+'(skema1-7_2017 - 17pl)'!E16*'Skema1-7_2017'!$H$1</f>
        <v>145110.20000000001</v>
      </c>
      <c r="F16" s="29">
        <f>+'(skema1-7_2017 - 17pl)'!F16*'Skema1-7_2017'!$H$1</f>
        <v>7508.6615088472035</v>
      </c>
      <c r="G16" s="29">
        <f>+'(skema1-7_2017 - 17pl)'!G16*'Skema1-7_2017'!$H$1</f>
        <v>14404.270941095576</v>
      </c>
      <c r="H16" s="29">
        <f>+'(skema1-7_2017 - 17pl)'!H16*'Skema1-7_2017'!$H$1</f>
        <v>205903.54295899943</v>
      </c>
      <c r="I16" s="29">
        <f>+'(skema1-7_2017 - 17pl)'!I16*'Skema1-7_2017'!$H$1</f>
        <v>8407.4</v>
      </c>
      <c r="J16" s="9">
        <f>+SUM(C16:E16) - SUM(F16:I16)</f>
        <v>7033681.1108683385</v>
      </c>
      <c r="K16" s="34"/>
      <c r="N16" s="35"/>
    </row>
    <row r="17" spans="1:15" s="24" customFormat="1" ht="13.5" customHeight="1" x14ac:dyDescent="0.25">
      <c r="A17" s="75">
        <f>+'(skema1-7_2017 - 17pl)'!A17</f>
        <v>5000</v>
      </c>
      <c r="B17" s="7" t="str">
        <f>+'(skema1-7_2017 - 17pl)'!B17</f>
        <v>Sygehus Sønderjylland</v>
      </c>
      <c r="C17" s="76">
        <f>+'(skema1-7_2017 - 17pl)'!C17*'Skema1-7_2017'!$H$1</f>
        <v>1879119.432</v>
      </c>
      <c r="D17" s="29">
        <f>+'(skema1-7_2017 - 17pl)'!D17*'Skema1-7_2017'!$H$1</f>
        <v>49075.847999999998</v>
      </c>
      <c r="E17" s="29">
        <f>+'(skema1-7_2017 - 17pl)'!E17*'Skema1-7_2017'!$H$1</f>
        <v>38043.103999999999</v>
      </c>
      <c r="F17" s="29">
        <f>+'(skema1-7_2017 - 17pl)'!F17*'Skema1-7_2017'!$H$1</f>
        <v>507.76825056255996</v>
      </c>
      <c r="G17" s="29">
        <f>+'(skema1-7_2017 - 17pl)'!G17*'Skema1-7_2017'!$H$1</f>
        <v>10750.295828226912</v>
      </c>
      <c r="H17" s="29">
        <f>+'(skema1-7_2017 - 17pl)'!H17*'Skema1-7_2017'!$H$1</f>
        <v>115350.2668511157</v>
      </c>
      <c r="I17" s="29">
        <f>+'(skema1-7_2017 - 17pl)'!I17*'Skema1-7_2017'!$H$1</f>
        <v>2542.0320000000002</v>
      </c>
      <c r="J17" s="9">
        <f t="shared" ref="J17:J28" si="3">+SUM(C17:E17) - SUM(F17:I17)</f>
        <v>1837088.021070095</v>
      </c>
      <c r="N17" s="35"/>
    </row>
    <row r="18" spans="1:15" s="24" customFormat="1" ht="13.5" customHeight="1" x14ac:dyDescent="0.25">
      <c r="A18" s="75">
        <f>+'(skema1-7_2017 - 17pl)'!A18</f>
        <v>5501</v>
      </c>
      <c r="B18" s="7" t="str">
        <f>+'(skema1-7_2017 - 17pl)'!B18</f>
        <v>Sydvestjysk Sygehus</v>
      </c>
      <c r="C18" s="76">
        <f>+'(skema1-7_2017 - 17pl)'!C18*'Skema1-7_2017'!$H$1</f>
        <v>1878042.0365728801</v>
      </c>
      <c r="D18" s="29">
        <f>+'(skema1-7_2017 - 17pl)'!D18*'Skema1-7_2017'!$H$1</f>
        <v>49068.735999999997</v>
      </c>
      <c r="E18" s="29">
        <f>+'(skema1-7_2017 - 17pl)'!E18*'Skema1-7_2017'!$H$1</f>
        <v>38035.991999999998</v>
      </c>
      <c r="F18" s="29">
        <f>+'(skema1-7_2017 - 17pl)'!F18*'Skema1-7_2017'!$H$1</f>
        <v>3493.335608372387</v>
      </c>
      <c r="G18" s="29">
        <f>+'(skema1-7_2017 - 17pl)'!G18*'Skema1-7_2017'!$H$1</f>
        <v>3976.6680842399996</v>
      </c>
      <c r="H18" s="29">
        <f>+'(skema1-7_2017 - 17pl)'!H18*'Skema1-7_2017'!$H$1</f>
        <v>90359.801787427787</v>
      </c>
      <c r="I18" s="29">
        <f>+'(skema1-7_2017 - 17pl)'!I18*'Skema1-7_2017'!$H$1</f>
        <v>215.392</v>
      </c>
      <c r="J18" s="9">
        <f t="shared" si="3"/>
        <v>1867101.5670928401</v>
      </c>
      <c r="N18" s="35"/>
    </row>
    <row r="19" spans="1:15" s="24" customFormat="1" ht="13.5" customHeight="1" x14ac:dyDescent="0.25">
      <c r="A19" s="75">
        <f>+'(skema1-7_2017 - 17pl)'!A19</f>
        <v>6007</v>
      </c>
      <c r="B19" s="7" t="str">
        <f>+'(skema1-7_2017 - 17pl)'!B19</f>
        <v>Fredericia og Kolding sygehuse</v>
      </c>
      <c r="C19" s="76">
        <f>+'(skema1-7_2017 - 17pl)'!C19*'Skema1-7_2017'!$H$1</f>
        <v>1501680.4031385146</v>
      </c>
      <c r="D19" s="29">
        <f>+'(skema1-7_2017 - 17pl)'!D19*'Skema1-7_2017'!$H$1</f>
        <v>39700.199999999997</v>
      </c>
      <c r="E19" s="29">
        <f>+'(skema1-7_2017 - 17pl)'!E19*'Skema1-7_2017'!$H$1</f>
        <v>30775.655999999999</v>
      </c>
      <c r="F19" s="29">
        <f>+'(skema1-7_2017 - 17pl)'!F19*'Skema1-7_2017'!$H$1</f>
        <v>467.51633176125898</v>
      </c>
      <c r="G19" s="29">
        <f>+'(skema1-7_2017 - 17pl)'!G19*'Skema1-7_2017'!$H$1</f>
        <v>727.20420840916802</v>
      </c>
      <c r="H19" s="29">
        <f>+'(skema1-7_2017 - 17pl)'!H19*'Skema1-7_2017'!$H$1</f>
        <v>51425.134264745117</v>
      </c>
      <c r="I19" s="29">
        <f>+'(skema1-7_2017 - 17pl)'!I19*'Skema1-7_2017'!$H$1</f>
        <v>-6299.2</v>
      </c>
      <c r="J19" s="9">
        <f t="shared" si="3"/>
        <v>1525835.6043335989</v>
      </c>
      <c r="N19" s="35"/>
    </row>
    <row r="20" spans="1:15" s="24" customFormat="1" ht="13.5" customHeight="1" x14ac:dyDescent="0.25">
      <c r="A20" s="75">
        <f>+'(skema1-7_2017 - 17pl)'!A20</f>
        <v>6008</v>
      </c>
      <c r="B20" s="7" t="str">
        <f>+'(skema1-7_2017 - 17pl)'!B20</f>
        <v>Vejle-Give-Middelfart sygehuse</v>
      </c>
      <c r="C20" s="76">
        <f>+'(skema1-7_2017 - 17pl)'!C20*'Skema1-7_2017'!$H$1</f>
        <v>1831250.6468306056</v>
      </c>
      <c r="D20" s="29">
        <f>+'(skema1-7_2017 - 17pl)'!D20*'Skema1-7_2017'!$H$1</f>
        <v>48523.144</v>
      </c>
      <c r="E20" s="29">
        <f>+'(skema1-7_2017 - 17pl)'!E20*'Skema1-7_2017'!$H$1</f>
        <v>37614.351999999999</v>
      </c>
      <c r="F20" s="29">
        <f>+'(skema1-7_2017 - 17pl)'!F20*'Skema1-7_2017'!$H$1</f>
        <v>4137.4916794387409</v>
      </c>
      <c r="G20" s="29">
        <f>+'(skema1-7_2017 - 17pl)'!G20*'Skema1-7_2017'!$H$1</f>
        <v>5114.6729673508316</v>
      </c>
      <c r="H20" s="29">
        <f>+'(skema1-7_2017 - 17pl)'!H20*'Skema1-7_2017'!$H$1</f>
        <v>63629.698383574891</v>
      </c>
      <c r="I20" s="29">
        <f>+'(skema1-7_2017 - 17pl)'!I20*'Skema1-7_2017'!$H$1</f>
        <v>-4865.6239999999998</v>
      </c>
      <c r="J20" s="9">
        <f t="shared" si="3"/>
        <v>1849371.9038002412</v>
      </c>
      <c r="N20" s="35"/>
    </row>
    <row r="21" spans="1:15" s="24" customFormat="1" ht="13.5" customHeight="1" x14ac:dyDescent="0.25">
      <c r="A21" s="75">
        <f>+'(skema1-7_2017 - 17pl)'!A21</f>
        <v>6013</v>
      </c>
      <c r="B21" s="7" t="str">
        <f>+'(skema1-7_2017 - 17pl)'!B21</f>
        <v>De Vestdanske Friklinikker, Give</v>
      </c>
      <c r="C21" s="76">
        <f>+'(skema1-7_2017 - 17pl)'!C21*'Skema1-7_2017'!$H$1</f>
        <v>75840.335999999996</v>
      </c>
      <c r="D21" s="29">
        <f>+'(skema1-7_2017 - 17pl)'!D21*'Skema1-7_2017'!$H$1</f>
        <v>2459.7359999999999</v>
      </c>
      <c r="E21" s="29">
        <f>+'(skema1-7_2017 - 17pl)'!E21*'Skema1-7_2017'!$H$1</f>
        <v>1906.0160000000001</v>
      </c>
      <c r="F21" s="29">
        <f>+'(skema1-7_2017 - 17pl)'!F21*'Skema1-7_2017'!$H$1</f>
        <v>0</v>
      </c>
      <c r="G21" s="29">
        <f>+'(skema1-7_2017 - 17pl)'!G21*'Skema1-7_2017'!$H$1</f>
        <v>0</v>
      </c>
      <c r="H21" s="29">
        <f>+'(skema1-7_2017 - 17pl)'!H21*'Skema1-7_2017'!$H$1</f>
        <v>0</v>
      </c>
      <c r="I21" s="29">
        <f>+'(skema1-7_2017 - 17pl)'!I21*'Skema1-7_2017'!$H$1</f>
        <v>0</v>
      </c>
      <c r="J21" s="9">
        <f t="shared" si="3"/>
        <v>80206.088000000003</v>
      </c>
      <c r="N21" s="35"/>
    </row>
    <row r="22" spans="1:15" s="24" customFormat="1" ht="13.5" customHeight="1" x14ac:dyDescent="0.25">
      <c r="A22" s="75">
        <f>+'(skema1-7_2017 - 17pl)'!A22</f>
        <v>6006</v>
      </c>
      <c r="B22" s="7" t="str">
        <f>+'(skema1-7_2017 - 17pl)'!B22</f>
        <v>Hospitalenheden Horsens</v>
      </c>
      <c r="C22" s="76">
        <f>+'(skema1-7_2017 - 17pl)'!C22*'Skema1-7_2017'!$H$1</f>
        <v>1042604.3647134403</v>
      </c>
      <c r="D22" s="29">
        <f>+'(skema1-7_2017 - 17pl)'!D22*'Skema1-7_2017'!$H$1</f>
        <v>45052.487999999998</v>
      </c>
      <c r="E22" s="29">
        <f>+'(skema1-7_2017 - 17pl)'!E22*'Skema1-7_2017'!$H$1</f>
        <v>22335.743999999999</v>
      </c>
      <c r="F22" s="29">
        <f>+'(skema1-7_2017 - 17pl)'!F22*'Skema1-7_2017'!$H$1</f>
        <v>0</v>
      </c>
      <c r="G22" s="29">
        <f>+'(skema1-7_2017 - 17pl)'!G22*'Skema1-7_2017'!$H$1</f>
        <v>114.32643902933334</v>
      </c>
      <c r="H22" s="29">
        <f>+'(skema1-7_2017 - 17pl)'!H22*'Skema1-7_2017'!$H$1</f>
        <v>45707.005844513435</v>
      </c>
      <c r="I22" s="29">
        <f>+'(skema1-7_2017 - 17pl)'!I22*'Skema1-7_2017'!$H$1</f>
        <v>-13597.128000000001</v>
      </c>
      <c r="J22" s="9">
        <f t="shared" si="3"/>
        <v>1077768.3924298976</v>
      </c>
      <c r="N22" s="35"/>
    </row>
    <row r="23" spans="1:15" s="24" customFormat="1" ht="13.5" customHeight="1" x14ac:dyDescent="0.25">
      <c r="A23" s="75">
        <f>+'(skema1-7_2017 - 17pl)'!A23</f>
        <v>6650</v>
      </c>
      <c r="B23" s="7" t="str">
        <f>+'(skema1-7_2017 - 17pl)'!B23</f>
        <v>Hospitalsenheden Vest</v>
      </c>
      <c r="C23" s="76">
        <f>+'(skema1-7_2017 - 17pl)'!C23*'Skema1-7_2017'!$H$1</f>
        <v>2307281.63436832</v>
      </c>
      <c r="D23" s="29">
        <f>+'(skema1-7_2017 - 17pl)'!D23*'Skema1-7_2017'!$H$1</f>
        <v>101930.2</v>
      </c>
      <c r="E23" s="29">
        <f>+'(skema1-7_2017 - 17pl)'!E23*'Skema1-7_2017'!$H$1</f>
        <v>50532.792000000001</v>
      </c>
      <c r="F23" s="29">
        <f>+'(skema1-7_2017 - 17pl)'!F23*'Skema1-7_2017'!$H$1</f>
        <v>0</v>
      </c>
      <c r="G23" s="29">
        <f>+'(skema1-7_2017 - 17pl)'!G23*'Skema1-7_2017'!$H$1</f>
        <v>2393.881077279832</v>
      </c>
      <c r="H23" s="29">
        <f>+'(skema1-7_2017 - 17pl)'!H23*'Skema1-7_2017'!$H$1</f>
        <v>96165.587593868026</v>
      </c>
      <c r="I23" s="29">
        <f>+'(skema1-7_2017 - 17pl)'!I23*'Skema1-7_2017'!$H$1</f>
        <v>-41625.520000000004</v>
      </c>
      <c r="J23" s="9">
        <f t="shared" si="3"/>
        <v>2402810.6776971724</v>
      </c>
      <c r="N23" s="35"/>
    </row>
    <row r="24" spans="1:15" s="24" customFormat="1" ht="13.5" customHeight="1" x14ac:dyDescent="0.25">
      <c r="A24" s="75">
        <f>+'(skema1-7_2017 - 17pl)'!A24</f>
        <v>6620</v>
      </c>
      <c r="B24" s="7" t="str">
        <f>+'(skema1-7_2017 - 17pl)'!B24</f>
        <v>Aarhus Universitetshospital</v>
      </c>
      <c r="C24" s="76">
        <f>+'(skema1-7_2017 - 17pl)'!C24*'Skema1-7_2017'!$H$1</f>
        <v>6924653.496644604</v>
      </c>
      <c r="D24" s="29">
        <f>+'(skema1-7_2017 - 17pl)'!D24*'Skema1-7_2017'!$H$1</f>
        <v>401243.8</v>
      </c>
      <c r="E24" s="29">
        <f>+'(skema1-7_2017 - 17pl)'!E24*'Skema1-7_2017'!$H$1</f>
        <v>161866.07200000001</v>
      </c>
      <c r="F24" s="29">
        <f>+'(skema1-7_2017 - 17pl)'!F24*'Skema1-7_2017'!$H$1</f>
        <v>0</v>
      </c>
      <c r="G24" s="29">
        <f>+'(skema1-7_2017 - 17pl)'!G24*'Skema1-7_2017'!$H$1</f>
        <v>26711.999283211877</v>
      </c>
      <c r="H24" s="29">
        <f>+'(skema1-7_2017 - 17pl)'!H24*'Skema1-7_2017'!$H$1</f>
        <v>-365076.28667236213</v>
      </c>
      <c r="I24" s="29">
        <f>+'(skema1-7_2017 - 17pl)'!I24*'Skema1-7_2017'!$H$1</f>
        <v>99604.576000000001</v>
      </c>
      <c r="J24" s="9">
        <f t="shared" si="3"/>
        <v>7726523.080033754</v>
      </c>
      <c r="N24" s="35"/>
    </row>
    <row r="25" spans="1:15" s="24" customFormat="1" ht="13.5" customHeight="1" x14ac:dyDescent="0.25">
      <c r="A25" s="75">
        <f>+'(skema1-7_2017 - 17pl)'!A25</f>
        <v>7005</v>
      </c>
      <c r="B25" s="7" t="str">
        <f>+'(skema1-7_2017 - 17pl)'!B25</f>
        <v>Regionshospitalet Randers</v>
      </c>
      <c r="C25" s="76">
        <f>+'(skema1-7_2017 - 17pl)'!C25*'Skema1-7_2017'!$H$1</f>
        <v>1154432.13373208</v>
      </c>
      <c r="D25" s="29">
        <f>+'(skema1-7_2017 - 17pl)'!D25*'Skema1-7_2017'!$H$1</f>
        <v>50133.504000000001</v>
      </c>
      <c r="E25" s="29">
        <f>+'(skema1-7_2017 - 17pl)'!E25*'Skema1-7_2017'!$H$1</f>
        <v>24854.407999999999</v>
      </c>
      <c r="F25" s="29">
        <f>+'(skema1-7_2017 - 17pl)'!F25*'Skema1-7_2017'!$H$1</f>
        <v>0</v>
      </c>
      <c r="G25" s="29">
        <f>+'(skema1-7_2017 - 17pl)'!G25*'Skema1-7_2017'!$H$1</f>
        <v>508.481584</v>
      </c>
      <c r="H25" s="29">
        <f>+'(skema1-7_2017 - 17pl)'!H25*'Skema1-7_2017'!$H$1</f>
        <v>24244.325687091259</v>
      </c>
      <c r="I25" s="29">
        <f>+'(skema1-7_2017 - 17pl)'!I25*'Skema1-7_2017'!$H$1</f>
        <v>-20603.464</v>
      </c>
      <c r="J25" s="9">
        <f t="shared" si="3"/>
        <v>1225270.7024609887</v>
      </c>
      <c r="N25" s="35"/>
    </row>
    <row r="26" spans="1:15" s="24" customFormat="1" ht="13.5" customHeight="1" x14ac:dyDescent="0.25">
      <c r="A26" s="75">
        <f>+'(skema1-7_2017 - 17pl)'!A26</f>
        <v>6630</v>
      </c>
      <c r="B26" s="7" t="str">
        <f>+'(skema1-7_2017 - 17pl)'!B26</f>
        <v>Hospitalsenhed Midt</v>
      </c>
      <c r="C26" s="76">
        <f>+'(skema1-7_2017 - 17pl)'!C26*'Skema1-7_2017'!$H$1</f>
        <v>2400530.255318</v>
      </c>
      <c r="D26" s="29">
        <f>+'(skema1-7_2017 - 17pl)'!D26*'Skema1-7_2017'!$H$1</f>
        <v>111811.81600000001</v>
      </c>
      <c r="E26" s="29">
        <f>+'(skema1-7_2017 - 17pl)'!E26*'Skema1-7_2017'!$H$1</f>
        <v>55430.928</v>
      </c>
      <c r="F26" s="29">
        <f>+'(skema1-7_2017 - 17pl)'!F26*'Skema1-7_2017'!$H$1</f>
        <v>0</v>
      </c>
      <c r="G26" s="29">
        <f>+'(skema1-7_2017 - 17pl)'!G26*'Skema1-7_2017'!$H$1</f>
        <v>5106.57936264</v>
      </c>
      <c r="H26" s="29">
        <f>+'(skema1-7_2017 - 17pl)'!H26*'Skema1-7_2017'!$H$1</f>
        <v>-72627.720274359017</v>
      </c>
      <c r="I26" s="29">
        <f>+'(skema1-7_2017 - 17pl)'!I26*'Skema1-7_2017'!$H$1</f>
        <v>-16991.583999999999</v>
      </c>
      <c r="J26" s="9">
        <f t="shared" si="3"/>
        <v>2652285.724229719</v>
      </c>
      <c r="N26" s="35"/>
    </row>
    <row r="27" spans="1:15" s="24" customFormat="1" ht="13.5" customHeight="1" x14ac:dyDescent="0.25">
      <c r="A27" s="75">
        <f>+'(skema1-7_2017 - 17pl)'!A27</f>
        <v>8001</v>
      </c>
      <c r="B27" s="7" t="str">
        <f>+'(skema1-7_2017 - 17pl)'!B27</f>
        <v>Aalborg Universitetshospital</v>
      </c>
      <c r="C27" s="76">
        <f>+'(skema1-7_2017 - 17pl)'!C27*'Skema1-7_2017'!$H$1</f>
        <v>5249583.3540000003</v>
      </c>
      <c r="D27" s="29">
        <f>+'(skema1-7_2017 - 17pl)'!D27*'Skema1-7_2017'!$H$1</f>
        <v>258822.23063999994</v>
      </c>
      <c r="E27" s="29">
        <f>+'(skema1-7_2017 - 17pl)'!E27*'Skema1-7_2017'!$H$1</f>
        <v>111515.82675200001</v>
      </c>
      <c r="F27" s="29">
        <f>+'(skema1-7_2017 - 17pl)'!F27*'Skema1-7_2017'!$H$1</f>
        <v>0</v>
      </c>
      <c r="G27" s="29">
        <f>+'(skema1-7_2017 - 17pl)'!G27*'Skema1-7_2017'!$H$1</f>
        <v>77190.406959999993</v>
      </c>
      <c r="H27" s="29">
        <f>+'(skema1-7_2017 - 17pl)'!H27*'Skema1-7_2017'!$H$1</f>
        <v>898789.06957600021</v>
      </c>
      <c r="I27" s="29">
        <f>+'(skema1-7_2017 - 17pl)'!I27*'Skema1-7_2017'!$H$1</f>
        <v>-106722.96562399999</v>
      </c>
      <c r="J27" s="9">
        <f t="shared" si="3"/>
        <v>4750664.9004799994</v>
      </c>
      <c r="N27" s="35"/>
    </row>
    <row r="28" spans="1:15" s="24" customFormat="1" ht="13.5" customHeight="1" x14ac:dyDescent="0.25">
      <c r="A28" s="75">
        <f>+'(skema1-7_2017 - 17pl)'!A28</f>
        <v>8003</v>
      </c>
      <c r="B28" s="7" t="str">
        <f>+'(skema1-7_2017 - 17pl)'!B28</f>
        <v>Regionshospitalet Nordjylland</v>
      </c>
      <c r="C28" s="76">
        <f>+'(skema1-7_2017 - 17pl)'!C28*'Skema1-7_2017'!$H$1</f>
        <v>1596806.9338880002</v>
      </c>
      <c r="D28" s="29">
        <f>+'(skema1-7_2017 - 17pl)'!D28*'Skema1-7_2017'!$H$1</f>
        <v>97454.037248000022</v>
      </c>
      <c r="E28" s="29">
        <f>+'(skema1-7_2017 - 17pl)'!E28*'Skema1-7_2017'!$H$1</f>
        <v>45359.283424000001</v>
      </c>
      <c r="F28" s="29">
        <f>+'(skema1-7_2017 - 17pl)'!F28*'Skema1-7_2017'!$H$1</f>
        <v>0</v>
      </c>
      <c r="G28" s="29">
        <f>+'(skema1-7_2017 - 17pl)'!G28*'Skema1-7_2017'!$H$1</f>
        <v>25685.288735999999</v>
      </c>
      <c r="H28" s="29">
        <f>+'(skema1-7_2017 - 17pl)'!H28*'Skema1-7_2017'!$H$1</f>
        <v>132703.66956799998</v>
      </c>
      <c r="I28" s="29">
        <f>+'(skema1-7_2017 - 17pl)'!I28*'Skema1-7_2017'!$H$1</f>
        <v>111721.63380800001</v>
      </c>
      <c r="J28" s="9">
        <f t="shared" si="3"/>
        <v>1469509.6624480002</v>
      </c>
      <c r="N28" s="35"/>
      <c r="O28" s="35"/>
    </row>
    <row r="29" spans="1:15" s="24" customFormat="1" ht="13.5" customHeight="1" x14ac:dyDescent="0.25">
      <c r="A29" s="13"/>
      <c r="B29" s="13" t="s">
        <v>14</v>
      </c>
      <c r="C29" s="14">
        <f t="shared" ref="C29:J29" si="4">SUM(C5:C28)</f>
        <v>60514596.338500373</v>
      </c>
      <c r="D29" s="14">
        <f t="shared" si="4"/>
        <v>3506235.8562037526</v>
      </c>
      <c r="E29" s="14">
        <f t="shared" si="4"/>
        <v>2984582.3434276339</v>
      </c>
      <c r="F29" s="14">
        <f t="shared" si="4"/>
        <v>16114.77337898215</v>
      </c>
      <c r="G29" s="14">
        <f t="shared" si="4"/>
        <v>387258.87502214505</v>
      </c>
      <c r="H29" s="14">
        <f t="shared" si="4"/>
        <v>-381262.54615945648</v>
      </c>
      <c r="I29" s="14">
        <f t="shared" si="4"/>
        <v>34822.343908174429</v>
      </c>
      <c r="J29" s="14">
        <f t="shared" si="4"/>
        <v>66948481.091981918</v>
      </c>
      <c r="K29" s="35"/>
    </row>
    <row r="30" spans="1:15" s="24" customFormat="1" ht="13.5" customHeight="1" x14ac:dyDescent="0.25">
      <c r="A30" s="37"/>
      <c r="B30" s="15"/>
      <c r="C30" s="16"/>
      <c r="D30" s="16"/>
      <c r="E30" s="16"/>
      <c r="F30" s="16"/>
      <c r="G30" s="16"/>
      <c r="H30" s="16"/>
      <c r="I30" s="16"/>
      <c r="J30" s="16"/>
    </row>
    <row r="31" spans="1:15" s="24" customFormat="1" ht="13.5" customHeight="1" x14ac:dyDescent="0.25">
      <c r="A31" s="37"/>
      <c r="B31" s="17" t="s">
        <v>26</v>
      </c>
      <c r="C31" s="18">
        <f t="shared" ref="C31:J31" si="5">SUM(C5:C11)</f>
        <v>18291068.326055359</v>
      </c>
      <c r="D31" s="18">
        <f t="shared" si="5"/>
        <v>1255409.2519477524</v>
      </c>
      <c r="E31" s="18">
        <f t="shared" si="5"/>
        <v>1827960.2858356345</v>
      </c>
      <c r="F31" s="18">
        <f t="shared" si="5"/>
        <v>0</v>
      </c>
      <c r="G31" s="18">
        <f t="shared" si="5"/>
        <v>128187.62299432</v>
      </c>
      <c r="H31" s="18">
        <f t="shared" si="5"/>
        <v>-1964043.7171754953</v>
      </c>
      <c r="I31" s="18">
        <f t="shared" si="5"/>
        <v>15611.474329135712</v>
      </c>
      <c r="J31" s="6">
        <f t="shared" si="5"/>
        <v>23194682.483690787</v>
      </c>
    </row>
    <row r="32" spans="1:15" s="24" customFormat="1" ht="13.5" customHeight="1" x14ac:dyDescent="0.25">
      <c r="A32" s="37"/>
      <c r="B32" s="19" t="s">
        <v>27</v>
      </c>
      <c r="C32" s="155">
        <f t="shared" ref="C32:J32" si="6">SUM(C12:C15)</f>
        <v>7444102.13496128</v>
      </c>
      <c r="D32" s="155">
        <f t="shared" si="6"/>
        <v>808356.92836799996</v>
      </c>
      <c r="E32" s="155">
        <f t="shared" si="6"/>
        <v>393241.68341599999</v>
      </c>
      <c r="F32" s="155">
        <f t="shared" si="6"/>
        <v>0</v>
      </c>
      <c r="G32" s="155">
        <f t="shared" si="6"/>
        <v>86387.176556341481</v>
      </c>
      <c r="H32" s="155">
        <f t="shared" si="6"/>
        <v>296207.07544742367</v>
      </c>
      <c r="I32" s="155">
        <f t="shared" si="6"/>
        <v>7425.3213950386998</v>
      </c>
      <c r="J32" s="156">
        <f t="shared" si="6"/>
        <v>8255681.1733464766</v>
      </c>
    </row>
    <row r="33" spans="1:10" s="24" customFormat="1" ht="13.5" customHeight="1" x14ac:dyDescent="0.25">
      <c r="A33" s="37"/>
      <c r="B33" s="19" t="s">
        <v>28</v>
      </c>
      <c r="C33" s="5">
        <f t="shared" ref="C33:J33" si="7">SUM(C16:C21)</f>
        <v>14103533.704819279</v>
      </c>
      <c r="D33" s="5">
        <f t="shared" si="7"/>
        <v>376021.60000000003</v>
      </c>
      <c r="E33" s="5">
        <f t="shared" si="7"/>
        <v>291485.32</v>
      </c>
      <c r="F33" s="5">
        <f t="shared" si="7"/>
        <v>16114.77337898215</v>
      </c>
      <c r="G33" s="5">
        <f t="shared" si="7"/>
        <v>34973.112029322489</v>
      </c>
      <c r="H33" s="5">
        <f t="shared" si="7"/>
        <v>526668.44424586289</v>
      </c>
      <c r="I33" s="5">
        <f t="shared" si="7"/>
        <v>9.0949470177292824E-13</v>
      </c>
      <c r="J33" s="8">
        <f t="shared" si="7"/>
        <v>14193284.295165112</v>
      </c>
    </row>
    <row r="34" spans="1:10" s="24" customFormat="1" ht="13.5" customHeight="1" x14ac:dyDescent="0.25">
      <c r="A34" s="37"/>
      <c r="B34" s="19" t="s">
        <v>29</v>
      </c>
      <c r="C34" s="5">
        <f t="shared" ref="C34:J34" si="8">SUM(C22:C26)</f>
        <v>13829501.884776443</v>
      </c>
      <c r="D34" s="5">
        <f t="shared" si="8"/>
        <v>710171.80799999996</v>
      </c>
      <c r="E34" s="5">
        <f t="shared" si="8"/>
        <v>315019.94400000002</v>
      </c>
      <c r="F34" s="5">
        <f t="shared" si="8"/>
        <v>0</v>
      </c>
      <c r="G34" s="5">
        <f t="shared" si="8"/>
        <v>34835.267746161044</v>
      </c>
      <c r="H34" s="5">
        <f t="shared" si="8"/>
        <v>-271587.08782124845</v>
      </c>
      <c r="I34" s="5">
        <f t="shared" si="8"/>
        <v>6786.880000000001</v>
      </c>
      <c r="J34" s="8">
        <f t="shared" si="8"/>
        <v>15084658.576851532</v>
      </c>
    </row>
    <row r="35" spans="1:10" s="24" customFormat="1" ht="13.5" customHeight="1" x14ac:dyDescent="0.25">
      <c r="A35" s="38"/>
      <c r="B35" s="20" t="s">
        <v>30</v>
      </c>
      <c r="C35" s="10">
        <f t="shared" ref="C35:J35" si="9">+SUM(C27:C28)</f>
        <v>6846390.2878880007</v>
      </c>
      <c r="D35" s="10">
        <f t="shared" si="9"/>
        <v>356276.26788799994</v>
      </c>
      <c r="E35" s="10">
        <f t="shared" si="9"/>
        <v>156875.11017600002</v>
      </c>
      <c r="F35" s="10">
        <f t="shared" si="9"/>
        <v>0</v>
      </c>
      <c r="G35" s="10">
        <f t="shared" si="9"/>
        <v>102875.695696</v>
      </c>
      <c r="H35" s="10">
        <f t="shared" si="9"/>
        <v>1031492.7391440002</v>
      </c>
      <c r="I35" s="10">
        <f t="shared" si="9"/>
        <v>4998.6681840000238</v>
      </c>
      <c r="J35" s="21">
        <f t="shared" si="9"/>
        <v>6220174.5629279995</v>
      </c>
    </row>
    <row r="36" spans="1:10" s="24" customFormat="1" ht="13.5" customHeight="1" x14ac:dyDescent="0.25">
      <c r="A36" s="38"/>
      <c r="B36" s="13" t="s">
        <v>14</v>
      </c>
      <c r="C36" s="18">
        <f>+SUM(C31:C35)</f>
        <v>60514596.338500358</v>
      </c>
      <c r="D36" s="22">
        <f t="shared" ref="D36:J36" si="10">+SUM(D31:D35)</f>
        <v>3506235.8562037521</v>
      </c>
      <c r="E36" s="22">
        <f t="shared" si="10"/>
        <v>2984582.3434276343</v>
      </c>
      <c r="F36" s="22">
        <f t="shared" si="10"/>
        <v>16114.77337898215</v>
      </c>
      <c r="G36" s="22">
        <f t="shared" si="10"/>
        <v>387258.87502214499</v>
      </c>
      <c r="H36" s="22">
        <f t="shared" si="10"/>
        <v>-381262.54615945695</v>
      </c>
      <c r="I36" s="22">
        <f t="shared" si="10"/>
        <v>34822.343908174436</v>
      </c>
      <c r="J36" s="23">
        <f t="shared" si="10"/>
        <v>66948481.09198191</v>
      </c>
    </row>
    <row r="37" spans="1:10" s="24" customFormat="1" ht="13.5" customHeight="1" x14ac:dyDescent="0.25">
      <c r="B37" s="78"/>
      <c r="C37" s="25"/>
      <c r="D37" s="26"/>
      <c r="E37" s="26"/>
      <c r="F37" s="26"/>
      <c r="G37" s="26"/>
      <c r="H37" s="26"/>
      <c r="I37" s="26"/>
      <c r="J37" s="26"/>
    </row>
    <row r="38" spans="1:10" s="24" customFormat="1" ht="13.5" customHeight="1" x14ac:dyDescent="0.25">
      <c r="B38" s="78"/>
      <c r="C38" s="36"/>
      <c r="D38" s="36"/>
      <c r="E38" s="36"/>
      <c r="F38" s="36"/>
      <c r="G38" s="36"/>
      <c r="H38" s="36"/>
      <c r="I38" s="36"/>
    </row>
    <row r="39" spans="1:10" s="24" customFormat="1" ht="13.5" customHeight="1" x14ac:dyDescent="0.25">
      <c r="B39" s="36"/>
      <c r="C39" s="36"/>
      <c r="D39" s="36"/>
      <c r="E39" s="36"/>
      <c r="F39" s="36"/>
      <c r="G39" s="36"/>
      <c r="H39" s="36"/>
      <c r="I39" s="36"/>
      <c r="J39" s="36"/>
    </row>
    <row r="40" spans="1:10" s="24" customFormat="1" ht="13.5" customHeight="1" x14ac:dyDescent="0.25">
      <c r="C40" s="36"/>
      <c r="D40" s="36"/>
      <c r="E40" s="36"/>
      <c r="F40" s="36"/>
      <c r="G40" s="36"/>
      <c r="H40" s="36"/>
      <c r="I40" s="36"/>
      <c r="J40" s="36"/>
    </row>
    <row r="41" spans="1:10" s="24" customFormat="1" ht="13.5" customHeight="1" x14ac:dyDescent="0.25"/>
    <row r="42" spans="1:10" s="24" customFormat="1" ht="13.5" customHeight="1" x14ac:dyDescent="0.25">
      <c r="C42" s="26"/>
      <c r="D42" s="26"/>
      <c r="E42" s="26"/>
      <c r="F42" s="26"/>
      <c r="G42" s="26"/>
      <c r="H42" s="26"/>
      <c r="I42" s="26"/>
      <c r="J42" s="26"/>
    </row>
    <row r="43" spans="1:10" s="24" customFormat="1" ht="31.5" customHeight="1" x14ac:dyDescent="0.25">
      <c r="C43" s="26"/>
      <c r="D43" s="26"/>
      <c r="E43" s="26"/>
      <c r="F43" s="26"/>
      <c r="G43" s="26"/>
      <c r="H43" s="26"/>
      <c r="I43" s="26"/>
      <c r="J43" s="26"/>
    </row>
    <row r="44" spans="1:10" s="24" customFormat="1" ht="13.5" customHeight="1" x14ac:dyDescent="0.25">
      <c r="C44" s="26"/>
      <c r="D44" s="26"/>
      <c r="E44" s="26"/>
      <c r="F44" s="26"/>
      <c r="G44" s="26"/>
      <c r="H44" s="26"/>
      <c r="I44" s="26"/>
      <c r="J44" s="26"/>
    </row>
    <row r="45" spans="1:10" s="24" customFormat="1" x14ac:dyDescent="0.25">
      <c r="C45" s="26"/>
      <c r="D45" s="26"/>
      <c r="E45" s="26"/>
      <c r="F45" s="26"/>
      <c r="G45" s="26"/>
      <c r="H45" s="26"/>
      <c r="I45" s="26"/>
      <c r="J45" s="26"/>
    </row>
    <row r="46" spans="1:10" s="24" customFormat="1" x14ac:dyDescent="0.25">
      <c r="C46" s="26"/>
      <c r="D46" s="26"/>
      <c r="E46" s="26"/>
      <c r="F46" s="26"/>
      <c r="G46" s="26"/>
      <c r="H46" s="26"/>
      <c r="I46" s="26"/>
      <c r="J46" s="26"/>
    </row>
    <row r="47" spans="1:10" s="24" customFormat="1" x14ac:dyDescent="0.25">
      <c r="C47" s="26"/>
      <c r="D47" s="26"/>
      <c r="E47" s="26"/>
      <c r="F47" s="26"/>
      <c r="G47" s="26"/>
      <c r="H47" s="26"/>
      <c r="I47" s="26"/>
      <c r="J47" s="26"/>
    </row>
    <row r="48" spans="1:10" s="24" customFormat="1" x14ac:dyDescent="0.25">
      <c r="C48" s="26"/>
      <c r="D48" s="26"/>
      <c r="E48" s="26"/>
      <c r="F48" s="26"/>
      <c r="G48" s="26"/>
      <c r="H48" s="26"/>
      <c r="I48" s="26"/>
      <c r="J48" s="26"/>
    </row>
    <row r="49" spans="3:10" s="24" customFormat="1" x14ac:dyDescent="0.25">
      <c r="C49" s="26"/>
      <c r="D49" s="26"/>
      <c r="E49" s="26"/>
      <c r="F49" s="26"/>
      <c r="G49" s="26"/>
      <c r="H49" s="26"/>
      <c r="I49" s="26"/>
      <c r="J49" s="26"/>
    </row>
    <row r="50" spans="3:10" s="24" customFormat="1" x14ac:dyDescent="0.25">
      <c r="C50" s="26"/>
      <c r="D50" s="26"/>
      <c r="E50" s="26"/>
      <c r="F50" s="26"/>
      <c r="G50" s="26"/>
      <c r="H50" s="26"/>
      <c r="I50" s="26"/>
      <c r="J50" s="26"/>
    </row>
    <row r="51" spans="3:10" s="24" customFormat="1" x14ac:dyDescent="0.25">
      <c r="C51" s="26"/>
      <c r="D51" s="26"/>
      <c r="E51" s="26"/>
      <c r="F51" s="26"/>
      <c r="G51" s="26"/>
      <c r="H51" s="26"/>
      <c r="I51" s="26"/>
      <c r="J51" s="26"/>
    </row>
    <row r="52" spans="3:10" s="24" customFormat="1" x14ac:dyDescent="0.25"/>
    <row r="53" spans="3:10" s="24" customFormat="1" x14ac:dyDescent="0.25"/>
    <row r="54" spans="3:10" s="24" customFormat="1" x14ac:dyDescent="0.25"/>
    <row r="55" spans="3:10" s="24" customFormat="1" x14ac:dyDescent="0.25">
      <c r="C55" s="26"/>
      <c r="D55" s="26"/>
      <c r="E55" s="26"/>
      <c r="F55" s="26"/>
      <c r="G55" s="26"/>
      <c r="H55" s="26"/>
      <c r="I55" s="26"/>
      <c r="J55" s="26"/>
    </row>
    <row r="56" spans="3:10" s="24" customFormat="1" x14ac:dyDescent="0.25">
      <c r="C56" s="26"/>
      <c r="D56" s="26"/>
      <c r="E56" s="26"/>
      <c r="F56" s="26"/>
      <c r="G56" s="26"/>
      <c r="H56" s="26"/>
      <c r="I56" s="26"/>
      <c r="J56" s="26"/>
    </row>
    <row r="57" spans="3:10" s="24" customFormat="1" x14ac:dyDescent="0.25">
      <c r="C57" s="26"/>
      <c r="D57" s="26"/>
      <c r="E57" s="26"/>
      <c r="F57" s="26"/>
      <c r="G57" s="26"/>
      <c r="H57" s="26"/>
      <c r="I57" s="26"/>
      <c r="J57" s="26"/>
    </row>
    <row r="58" spans="3:10" s="24" customFormat="1" x14ac:dyDescent="0.25">
      <c r="C58" s="26"/>
      <c r="D58" s="26"/>
      <c r="E58" s="26"/>
      <c r="F58" s="26"/>
      <c r="G58" s="26"/>
      <c r="H58" s="26"/>
      <c r="I58" s="26"/>
      <c r="J58" s="26"/>
    </row>
    <row r="59" spans="3:10" s="24" customFormat="1" x14ac:dyDescent="0.25">
      <c r="C59" s="26"/>
      <c r="D59" s="26"/>
      <c r="E59" s="26"/>
      <c r="F59" s="26"/>
      <c r="G59" s="26"/>
      <c r="H59" s="26"/>
      <c r="I59" s="26"/>
      <c r="J59" s="26"/>
    </row>
    <row r="60" spans="3:10" s="24" customFormat="1" x14ac:dyDescent="0.25">
      <c r="C60" s="26"/>
      <c r="D60" s="26"/>
      <c r="E60" s="26"/>
      <c r="F60" s="26"/>
      <c r="G60" s="26"/>
      <c r="H60" s="26"/>
      <c r="I60" s="26"/>
      <c r="J60" s="26"/>
    </row>
    <row r="61" spans="3:10" s="24" customFormat="1" x14ac:dyDescent="0.25">
      <c r="C61" s="26"/>
      <c r="D61" s="26"/>
      <c r="E61" s="26"/>
      <c r="F61" s="26"/>
      <c r="G61" s="26"/>
      <c r="H61" s="26"/>
      <c r="I61" s="26"/>
      <c r="J61" s="26"/>
    </row>
    <row r="62" spans="3:10" s="24" customFormat="1" x14ac:dyDescent="0.25">
      <c r="C62" s="26"/>
      <c r="D62" s="26"/>
      <c r="E62" s="26"/>
      <c r="F62" s="26"/>
      <c r="G62" s="26"/>
      <c r="H62" s="26"/>
      <c r="I62" s="26"/>
      <c r="J62" s="26"/>
    </row>
    <row r="63" spans="3:10" s="24" customFormat="1" x14ac:dyDescent="0.25">
      <c r="C63" s="26"/>
      <c r="D63" s="26"/>
      <c r="E63" s="26"/>
      <c r="F63" s="26"/>
      <c r="G63" s="26"/>
      <c r="H63" s="26"/>
      <c r="I63" s="26"/>
      <c r="J63" s="26"/>
    </row>
    <row r="64" spans="3:10" s="24" customFormat="1" x14ac:dyDescent="0.25">
      <c r="C64" s="26"/>
      <c r="D64" s="26"/>
      <c r="E64" s="26"/>
      <c r="F64" s="26"/>
      <c r="G64" s="26"/>
      <c r="H64" s="26"/>
      <c r="I64" s="26"/>
      <c r="J64" s="26"/>
    </row>
    <row r="65" spans="3:10" s="24" customFormat="1" x14ac:dyDescent="0.25">
      <c r="C65" s="26"/>
      <c r="D65" s="26"/>
      <c r="E65" s="26"/>
      <c r="F65" s="26"/>
      <c r="G65" s="26"/>
      <c r="H65" s="26"/>
      <c r="I65" s="26"/>
      <c r="J65" s="26"/>
    </row>
    <row r="66" spans="3:10" s="24" customFormat="1" x14ac:dyDescent="0.25">
      <c r="C66" s="26"/>
      <c r="D66" s="26"/>
      <c r="E66" s="26"/>
      <c r="F66" s="26"/>
      <c r="G66" s="26"/>
      <c r="H66" s="26"/>
      <c r="I66" s="26"/>
      <c r="J66" s="26"/>
    </row>
    <row r="67" spans="3:10" s="24" customFormat="1" x14ac:dyDescent="0.25">
      <c r="C67" s="26"/>
      <c r="D67" s="26"/>
      <c r="E67" s="26"/>
      <c r="F67" s="26"/>
      <c r="G67" s="26"/>
      <c r="H67" s="26"/>
      <c r="I67" s="26"/>
      <c r="J67" s="26"/>
    </row>
    <row r="68" spans="3:10" s="24" customFormat="1" x14ac:dyDescent="0.25">
      <c r="C68" s="26"/>
      <c r="D68" s="26"/>
      <c r="E68" s="26"/>
      <c r="F68" s="26"/>
      <c r="G68" s="26"/>
      <c r="H68" s="26"/>
      <c r="I68" s="26"/>
      <c r="J68" s="26"/>
    </row>
    <row r="69" spans="3:10" s="24" customFormat="1" x14ac:dyDescent="0.25">
      <c r="C69" s="26"/>
      <c r="D69" s="26"/>
      <c r="E69" s="26"/>
      <c r="F69" s="26"/>
      <c r="G69" s="26"/>
      <c r="H69" s="26"/>
      <c r="I69" s="26"/>
      <c r="J69" s="26"/>
    </row>
    <row r="70" spans="3:10" s="24" customFormat="1" x14ac:dyDescent="0.25">
      <c r="C70" s="26"/>
      <c r="D70" s="26"/>
      <c r="E70" s="26"/>
      <c r="F70" s="26"/>
      <c r="G70" s="26"/>
      <c r="H70" s="26"/>
      <c r="I70" s="26"/>
      <c r="J70" s="26"/>
    </row>
    <row r="71" spans="3:10" s="24" customFormat="1" x14ac:dyDescent="0.25">
      <c r="C71" s="26"/>
      <c r="D71" s="26"/>
      <c r="E71" s="26"/>
      <c r="F71" s="26"/>
      <c r="G71" s="26"/>
      <c r="H71" s="26"/>
      <c r="I71" s="26"/>
      <c r="J71" s="26"/>
    </row>
    <row r="72" spans="3:10" s="24" customFormat="1" x14ac:dyDescent="0.25">
      <c r="C72" s="26"/>
      <c r="D72" s="26"/>
      <c r="E72" s="26"/>
      <c r="F72" s="26"/>
      <c r="G72" s="26"/>
      <c r="H72" s="26"/>
      <c r="I72" s="26"/>
      <c r="J72" s="26"/>
    </row>
    <row r="73" spans="3:10" s="24" customFormat="1" x14ac:dyDescent="0.25">
      <c r="C73" s="26"/>
      <c r="D73" s="26"/>
      <c r="E73" s="26"/>
      <c r="F73" s="26"/>
      <c r="G73" s="26"/>
      <c r="H73" s="26"/>
      <c r="I73" s="26"/>
      <c r="J73" s="26"/>
    </row>
    <row r="74" spans="3:10" s="24" customFormat="1" x14ac:dyDescent="0.25">
      <c r="C74" s="26"/>
      <c r="D74" s="26"/>
      <c r="E74" s="26"/>
      <c r="F74" s="26"/>
      <c r="G74" s="26"/>
      <c r="H74" s="26"/>
      <c r="I74" s="26"/>
      <c r="J74" s="26"/>
    </row>
    <row r="75" spans="3:10" s="24" customFormat="1" x14ac:dyDescent="0.25">
      <c r="C75" s="26"/>
      <c r="D75" s="26"/>
      <c r="E75" s="26"/>
      <c r="F75" s="26"/>
      <c r="G75" s="26"/>
      <c r="H75" s="26"/>
      <c r="I75" s="26"/>
      <c r="J75" s="26"/>
    </row>
    <row r="76" spans="3:10" s="24" customFormat="1" x14ac:dyDescent="0.25">
      <c r="C76" s="26"/>
      <c r="D76" s="26"/>
      <c r="E76" s="26"/>
      <c r="F76" s="26"/>
      <c r="G76" s="26"/>
      <c r="H76" s="26"/>
      <c r="I76" s="26"/>
      <c r="J76" s="26"/>
    </row>
    <row r="77" spans="3:10" s="24" customFormat="1" x14ac:dyDescent="0.25">
      <c r="C77" s="26"/>
      <c r="D77" s="26"/>
      <c r="E77" s="26"/>
      <c r="F77" s="26"/>
      <c r="G77" s="26"/>
      <c r="H77" s="26"/>
      <c r="I77" s="26"/>
      <c r="J77" s="26"/>
    </row>
    <row r="78" spans="3:10" s="24" customFormat="1" x14ac:dyDescent="0.25">
      <c r="C78" s="26"/>
      <c r="D78" s="26"/>
      <c r="E78" s="26"/>
      <c r="F78" s="26"/>
      <c r="G78" s="26"/>
      <c r="H78" s="26"/>
      <c r="I78" s="26"/>
      <c r="J78" s="26"/>
    </row>
    <row r="79" spans="3:10" s="24" customFormat="1" x14ac:dyDescent="0.25">
      <c r="C79" s="26"/>
      <c r="D79" s="26"/>
      <c r="E79" s="26"/>
      <c r="F79" s="26"/>
      <c r="G79" s="26"/>
      <c r="H79" s="26"/>
      <c r="I79" s="26"/>
      <c r="J79" s="26"/>
    </row>
    <row r="80" spans="3:10" s="24" customFormat="1" x14ac:dyDescent="0.25">
      <c r="C80" s="26"/>
      <c r="D80" s="26"/>
      <c r="E80" s="26"/>
      <c r="F80" s="26"/>
      <c r="G80" s="26"/>
      <c r="H80" s="26"/>
      <c r="I80" s="26"/>
      <c r="J80" s="26"/>
    </row>
    <row r="81" spans="3:10" s="24" customFormat="1" x14ac:dyDescent="0.25">
      <c r="C81" s="26"/>
      <c r="D81" s="26"/>
      <c r="E81" s="26"/>
      <c r="F81" s="26"/>
      <c r="G81" s="26"/>
      <c r="H81" s="26"/>
      <c r="I81" s="26"/>
      <c r="J81" s="26"/>
    </row>
    <row r="82" spans="3:10" s="24" customFormat="1" x14ac:dyDescent="0.25">
      <c r="C82" s="26"/>
      <c r="D82" s="26"/>
      <c r="E82" s="26"/>
      <c r="F82" s="26"/>
      <c r="G82" s="26"/>
      <c r="H82" s="26"/>
      <c r="I82" s="26"/>
      <c r="J82" s="26"/>
    </row>
    <row r="83" spans="3:10" s="24" customFormat="1" x14ac:dyDescent="0.25">
      <c r="C83" s="26"/>
      <c r="D83" s="26"/>
      <c r="E83" s="26"/>
      <c r="F83" s="26"/>
      <c r="G83" s="26"/>
      <c r="H83" s="26"/>
      <c r="I83" s="26"/>
      <c r="J83" s="26"/>
    </row>
    <row r="84" spans="3:10" s="24" customFormat="1" x14ac:dyDescent="0.25">
      <c r="C84" s="26"/>
      <c r="D84" s="26"/>
      <c r="E84" s="26"/>
      <c r="F84" s="26"/>
      <c r="G84" s="26"/>
      <c r="H84" s="26"/>
      <c r="I84" s="26"/>
      <c r="J84" s="26"/>
    </row>
  </sheetData>
  <pageMargins left="0.51181102362204722" right="0.43307086614173229" top="0.51181102362204722" bottom="0.19685039370078741" header="0.23622047244094491" footer="0.23622047244094491"/>
  <pageSetup paperSize="9" scale="50" orientation="landscape" horizontalDpi="300" verticalDpi="300" r:id="rId1"/>
  <headerFooter alignWithMargins="0">
    <oddHeader>&amp;CSide 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Normal="100" workbookViewId="0">
      <selection activeCell="J9" sqref="J9"/>
    </sheetView>
  </sheetViews>
  <sheetFormatPr defaultColWidth="9.1796875" defaultRowHeight="11.5" x14ac:dyDescent="0.25"/>
  <cols>
    <col min="1" max="1" width="8.54296875" style="24" customWidth="1"/>
    <col min="2" max="2" width="39.26953125" style="24" customWidth="1"/>
    <col min="3" max="9" width="10" style="26" customWidth="1"/>
    <col min="10" max="10" width="19.26953125" style="26" customWidth="1"/>
    <col min="11" max="11" width="4.26953125" style="24" customWidth="1"/>
    <col min="12" max="12" width="9.1796875" style="80"/>
    <col min="13" max="13" width="9.1796875" style="24"/>
    <col min="14" max="14" width="12.81640625" style="24" customWidth="1"/>
    <col min="15" max="16384" width="9.1796875" style="24"/>
  </cols>
  <sheetData>
    <row r="1" spans="1:15" ht="15.5" x14ac:dyDescent="0.35">
      <c r="A1" s="72" t="str">
        <f>+'Skema1-7_2017'!A1</f>
        <v>Offentliggjort 9. marts 2021</v>
      </c>
      <c r="F1" s="38"/>
      <c r="L1" s="79"/>
      <c r="M1" s="39"/>
    </row>
    <row r="2" spans="1:15" ht="13.5" customHeight="1" x14ac:dyDescent="0.3">
      <c r="A2" s="31" t="s">
        <v>86</v>
      </c>
      <c r="E2" s="27"/>
      <c r="F2" s="27"/>
      <c r="G2" s="27"/>
      <c r="H2" s="28"/>
      <c r="I2" s="32"/>
      <c r="J2" s="28"/>
      <c r="L2" s="79"/>
      <c r="M2" s="39"/>
    </row>
    <row r="3" spans="1:15" ht="13.5" customHeight="1" x14ac:dyDescent="0.3">
      <c r="A3" s="33" t="s">
        <v>35</v>
      </c>
      <c r="E3" s="27"/>
      <c r="F3" s="27"/>
      <c r="G3" s="27"/>
      <c r="H3" s="28"/>
      <c r="I3" s="27"/>
      <c r="J3" s="28"/>
      <c r="L3" s="79"/>
      <c r="M3" s="39"/>
    </row>
    <row r="4" spans="1:15" ht="54" customHeight="1" x14ac:dyDescent="0.25">
      <c r="A4" s="73" t="s">
        <v>6</v>
      </c>
      <c r="B4" s="73" t="s">
        <v>0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15</v>
      </c>
      <c r="L4" s="176"/>
      <c r="M4" s="39"/>
    </row>
    <row r="5" spans="1:15" ht="13.5" customHeight="1" x14ac:dyDescent="0.25">
      <c r="A5" s="74">
        <f>+'(skema1-7_2017 - 17pl)'!A5</f>
        <v>1301</v>
      </c>
      <c r="B5" s="4" t="str">
        <f>+'(skema1-7_2017 - 17pl)'!B5</f>
        <v>Rigshospitalet</v>
      </c>
      <c r="C5" s="47">
        <v>6058500.9194400012</v>
      </c>
      <c r="D5" s="5">
        <v>493448.89733671775</v>
      </c>
      <c r="E5" s="5">
        <v>766078.96440939431</v>
      </c>
      <c r="F5" s="5">
        <v>0</v>
      </c>
      <c r="G5" s="5">
        <v>60421.276519999999</v>
      </c>
      <c r="H5" s="5">
        <v>-2238919.2589265658</v>
      </c>
      <c r="I5" s="5">
        <v>41796.617699403723</v>
      </c>
      <c r="J5" s="9">
        <f t="shared" ref="J5:J12" si="0">SUM(C5:E5)-SUM(F5:I5)</f>
        <v>9454730.1458932757</v>
      </c>
      <c r="K5" s="160"/>
      <c r="L5" s="16"/>
      <c r="M5" s="80"/>
      <c r="N5" s="80"/>
    </row>
    <row r="6" spans="1:15" ht="13.5" customHeight="1" x14ac:dyDescent="0.25">
      <c r="A6" s="75">
        <f>+'(skema1-7_2017 - 17pl)'!A6</f>
        <v>1309</v>
      </c>
      <c r="B6" s="7" t="str">
        <f>+'(skema1-7_2017 - 17pl)'!B6</f>
        <v>Bispebjerg og Frederiksberg Hospital</v>
      </c>
      <c r="C6" s="47">
        <v>2113793.3931</v>
      </c>
      <c r="D6" s="5">
        <v>119756.91632463665</v>
      </c>
      <c r="E6" s="5">
        <v>203356.90091040047</v>
      </c>
      <c r="F6" s="5">
        <v>0</v>
      </c>
      <c r="G6" s="5">
        <v>19921.222570000002</v>
      </c>
      <c r="H6" s="5">
        <v>9809.0810895249342</v>
      </c>
      <c r="I6" s="5">
        <v>-4813.3999574665941</v>
      </c>
      <c r="J6" s="9">
        <f t="shared" si="0"/>
        <v>2411990.3066329784</v>
      </c>
      <c r="K6" s="160"/>
      <c r="L6" s="16"/>
      <c r="N6" s="80"/>
    </row>
    <row r="7" spans="1:15" ht="13.5" customHeight="1" x14ac:dyDescent="0.25">
      <c r="A7" s="75">
        <f>+'(skema1-7_2017 - 17pl)'!A7</f>
        <v>1330</v>
      </c>
      <c r="B7" s="7" t="str">
        <f>+'(skema1-7_2017 - 17pl)'!B7</f>
        <v>Amager og Hvidovre Hospital</v>
      </c>
      <c r="C7" s="47">
        <v>2582545.55003</v>
      </c>
      <c r="D7" s="5">
        <v>148750.09805910039</v>
      </c>
      <c r="E7" s="5">
        <v>253265.00906201859</v>
      </c>
      <c r="F7" s="5">
        <v>0</v>
      </c>
      <c r="G7" s="5">
        <v>30648.138609999998</v>
      </c>
      <c r="H7" s="5">
        <v>-77971.171564002914</v>
      </c>
      <c r="I7" s="5">
        <v>10114.902335074943</v>
      </c>
      <c r="J7" s="9">
        <f t="shared" si="0"/>
        <v>3021768.7877700473</v>
      </c>
      <c r="K7" s="160"/>
      <c r="L7" s="16"/>
      <c r="M7" s="80"/>
      <c r="N7" s="80"/>
      <c r="O7" s="80"/>
    </row>
    <row r="8" spans="1:15" ht="13.5" customHeight="1" x14ac:dyDescent="0.25">
      <c r="A8" s="75">
        <f>+'(skema1-7_2017 - 17pl)'!A8</f>
        <v>1516</v>
      </c>
      <c r="B8" s="7" t="str">
        <f>+'(skema1-7_2017 - 17pl)'!B8</f>
        <v>Herlev og Gentofte Hospital</v>
      </c>
      <c r="C8" s="47">
        <v>4522772.2015800001</v>
      </c>
      <c r="D8" s="5">
        <v>271503.03465009783</v>
      </c>
      <c r="E8" s="5">
        <v>433669.87151237141</v>
      </c>
      <c r="F8" s="5">
        <v>0</v>
      </c>
      <c r="G8" s="5">
        <v>55991.447780000002</v>
      </c>
      <c r="H8" s="5">
        <v>-111640.15318983096</v>
      </c>
      <c r="I8" s="5">
        <v>-23074.614569439993</v>
      </c>
      <c r="J8" s="9">
        <f t="shared" si="0"/>
        <v>5306668.4277217397</v>
      </c>
      <c r="K8" s="160"/>
      <c r="L8" s="16"/>
      <c r="M8" s="80"/>
      <c r="N8" s="80"/>
      <c r="O8" s="80"/>
    </row>
    <row r="9" spans="1:15" ht="13.5" customHeight="1" x14ac:dyDescent="0.25">
      <c r="A9" s="75">
        <f>+'(skema1-7_2017 - 17pl)'!A9</f>
        <v>1507</v>
      </c>
      <c r="B9" s="7" t="str">
        <f>+'(skema1-7_2017 - 17pl)'!B9</f>
        <v>Steno Diabetes Center Copenhagen</v>
      </c>
      <c r="C9" s="47">
        <v>92268.494590000046</v>
      </c>
      <c r="D9" s="5">
        <v>4828.8510971238975</v>
      </c>
      <c r="E9" s="5">
        <v>8493.9105790868307</v>
      </c>
      <c r="F9" s="5">
        <v>0</v>
      </c>
      <c r="G9" s="5">
        <v>0</v>
      </c>
      <c r="H9" s="5">
        <v>-146.9420569139441</v>
      </c>
      <c r="I9" s="5">
        <v>-1068.556174951505</v>
      </c>
      <c r="J9" s="9">
        <f t="shared" ref="J9" si="1">SUM(C9:E9)-SUM(F9:I9)</f>
        <v>106806.75449807623</v>
      </c>
      <c r="K9" s="160"/>
      <c r="L9" s="16"/>
      <c r="M9" s="80"/>
      <c r="N9" s="80"/>
      <c r="O9" s="80"/>
    </row>
    <row r="10" spans="1:15" ht="13.5" customHeight="1" x14ac:dyDescent="0.25">
      <c r="A10" s="75">
        <f>+'(skema1-7_2017 - 17pl)'!A10</f>
        <v>2000</v>
      </c>
      <c r="B10" s="7" t="str">
        <f>+'(skema1-7_2017 - 17pl)'!B10</f>
        <v>Nordsjællands Hospital</v>
      </c>
      <c r="C10" s="47">
        <v>2293191.6842300002</v>
      </c>
      <c r="D10" s="5">
        <v>126492.64863462411</v>
      </c>
      <c r="E10" s="5">
        <v>214356.25638368333</v>
      </c>
      <c r="F10" s="5">
        <v>0</v>
      </c>
      <c r="G10" s="5">
        <v>18572.615879999998</v>
      </c>
      <c r="H10" s="5">
        <v>79620.558051676315</v>
      </c>
      <c r="I10" s="5">
        <v>-14412.856583257741</v>
      </c>
      <c r="J10" s="9">
        <f t="shared" si="0"/>
        <v>2550260.2718998892</v>
      </c>
      <c r="K10" s="160"/>
      <c r="L10" s="16"/>
      <c r="M10" s="80"/>
      <c r="N10" s="80"/>
      <c r="O10" s="80"/>
    </row>
    <row r="11" spans="1:15" ht="13.5" customHeight="1" x14ac:dyDescent="0.25">
      <c r="A11" s="75">
        <f>+'(skema1-7_2017 - 17pl)'!A11</f>
        <v>4001</v>
      </c>
      <c r="B11" s="7" t="str">
        <f>+'(skema1-7_2017 - 17pl)'!B11</f>
        <v>Bornholms Hospital</v>
      </c>
      <c r="C11" s="47">
        <v>400074.43579999998</v>
      </c>
      <c r="D11" s="5">
        <v>22181.262221928657</v>
      </c>
      <c r="E11" s="5">
        <v>37341.069918473724</v>
      </c>
      <c r="F11" s="5">
        <v>0</v>
      </c>
      <c r="G11" s="5">
        <v>2363.3226299999997</v>
      </c>
      <c r="H11" s="5">
        <v>28362.031641054949</v>
      </c>
      <c r="I11" s="5">
        <v>9379.6835707865903</v>
      </c>
      <c r="J11" s="9">
        <f t="shared" si="0"/>
        <v>419491.73009856086</v>
      </c>
      <c r="K11" s="160"/>
      <c r="L11" s="16"/>
      <c r="M11" s="80"/>
      <c r="N11" s="80"/>
      <c r="O11" s="80"/>
    </row>
    <row r="12" spans="1:15" ht="13.5" customHeight="1" x14ac:dyDescent="0.25">
      <c r="A12" s="75">
        <f>+'(skema1-7_2017 - 17pl)'!A12</f>
        <v>3810</v>
      </c>
      <c r="B12" s="7" t="str">
        <f>+'(skema1-7_2017 - 17pl)'!B12</f>
        <v>Sjællands Universitetshospital</v>
      </c>
      <c r="C12" s="47">
        <v>3444453.1676800009</v>
      </c>
      <c r="D12" s="5">
        <v>263117.57158999995</v>
      </c>
      <c r="E12" s="5">
        <v>169831.45327999999</v>
      </c>
      <c r="F12" s="5">
        <v>0</v>
      </c>
      <c r="G12" s="5">
        <v>25689.998140377462</v>
      </c>
      <c r="H12" s="5">
        <v>109743.1162083033</v>
      </c>
      <c r="I12" s="5">
        <v>-50487.763804164308</v>
      </c>
      <c r="J12" s="9">
        <f t="shared" si="0"/>
        <v>3792456.8420054843</v>
      </c>
      <c r="K12" s="160"/>
      <c r="L12" s="16"/>
      <c r="M12" s="80"/>
      <c r="N12" s="80"/>
      <c r="O12" s="80"/>
    </row>
    <row r="13" spans="1:15" ht="13.5" customHeight="1" x14ac:dyDescent="0.25">
      <c r="A13" s="75">
        <f>+'(skema1-7_2017 - 17pl)'!A13</f>
        <v>3820</v>
      </c>
      <c r="B13" s="7" t="str">
        <f>+'(skema1-7_2017 - 17pl)'!B13</f>
        <v>Holbæk Sygehus</v>
      </c>
      <c r="C13" s="47">
        <v>1106193.9812299998</v>
      </c>
      <c r="D13" s="5">
        <v>116681.06858000005</v>
      </c>
      <c r="E13" s="5">
        <v>64228.335129999999</v>
      </c>
      <c r="F13" s="5">
        <v>0</v>
      </c>
      <c r="G13" s="5">
        <v>10098.973786615301</v>
      </c>
      <c r="H13" s="5">
        <v>32211.198462352833</v>
      </c>
      <c r="I13" s="5">
        <v>-21125.436842926632</v>
      </c>
      <c r="J13" s="9">
        <f t="shared" ref="J13:J28" si="2">SUM(C13:E13)-SUM(F13:I13)</f>
        <v>1265918.6495339582</v>
      </c>
      <c r="K13" s="160"/>
      <c r="L13" s="16"/>
      <c r="M13" s="80"/>
      <c r="N13" s="80"/>
      <c r="O13" s="80"/>
    </row>
    <row r="14" spans="1:15" ht="13.5" customHeight="1" x14ac:dyDescent="0.25">
      <c r="A14" s="75">
        <f>+'(skema1-7_2017 - 17pl)'!A14</f>
        <v>3830</v>
      </c>
      <c r="B14" s="7" t="str">
        <f>+'(skema1-7_2017 - 17pl)'!B14</f>
        <v>Næstved, Slagelse og Ringsted sygehuse</v>
      </c>
      <c r="C14" s="47">
        <v>2057905.31387</v>
      </c>
      <c r="D14" s="5">
        <v>246803.38912000007</v>
      </c>
      <c r="E14" s="5">
        <v>114351.0266</v>
      </c>
      <c r="F14" s="5">
        <v>0</v>
      </c>
      <c r="G14" s="5">
        <v>57576.102658374599</v>
      </c>
      <c r="H14" s="5">
        <v>134084.88143925695</v>
      </c>
      <c r="I14" s="5">
        <v>119477.27903599451</v>
      </c>
      <c r="J14" s="9">
        <f t="shared" si="2"/>
        <v>2107921.4664563742</v>
      </c>
      <c r="K14" s="160"/>
      <c r="L14" s="16"/>
      <c r="M14" s="80"/>
      <c r="N14" s="80"/>
      <c r="O14" s="80"/>
    </row>
    <row r="15" spans="1:15" ht="13.5" customHeight="1" x14ac:dyDescent="0.25">
      <c r="A15" s="75">
        <f>+'(skema1-7_2017 - 17pl)'!A15</f>
        <v>3840</v>
      </c>
      <c r="B15" s="7" t="str">
        <f>+'(skema1-7_2017 - 17pl)'!B15</f>
        <v>Nykøbing Sygehus</v>
      </c>
      <c r="C15" s="47">
        <v>796143.56699999992</v>
      </c>
      <c r="D15" s="5">
        <v>84685.280620000034</v>
      </c>
      <c r="E15" s="5">
        <v>46484.29232</v>
      </c>
      <c r="F15" s="5">
        <v>0</v>
      </c>
      <c r="G15" s="5">
        <v>8512.4926436022815</v>
      </c>
      <c r="H15" s="5">
        <v>25602.703611538891</v>
      </c>
      <c r="I15" s="5">
        <v>-41314.6252489119</v>
      </c>
      <c r="J15" s="9">
        <f t="shared" si="2"/>
        <v>934512.56893377064</v>
      </c>
      <c r="K15" s="160"/>
      <c r="L15" s="16"/>
      <c r="M15" s="80"/>
      <c r="N15" s="80"/>
    </row>
    <row r="16" spans="1:15" ht="13.5" customHeight="1" x14ac:dyDescent="0.25">
      <c r="A16" s="75">
        <f>+'(skema1-7_2017 - 17pl)'!A16</f>
        <v>4202</v>
      </c>
      <c r="B16" s="7" t="str">
        <f>+'(skema1-7_2017 - 17pl)'!B16</f>
        <v>Odense Universitetshospital</v>
      </c>
      <c r="C16" s="47">
        <v>7072452.2709999997</v>
      </c>
      <c r="D16" s="5">
        <v>214801</v>
      </c>
      <c r="E16" s="5">
        <v>148513</v>
      </c>
      <c r="F16" s="5">
        <v>7651.7070000000003</v>
      </c>
      <c r="G16" s="5">
        <v>12590.868999999999</v>
      </c>
      <c r="H16" s="5">
        <v>244164.799</v>
      </c>
      <c r="I16" s="5">
        <v>2446.5240000000003</v>
      </c>
      <c r="J16" s="9">
        <f t="shared" si="2"/>
        <v>7168912.3719999995</v>
      </c>
      <c r="K16" s="160"/>
      <c r="L16" s="16"/>
      <c r="M16" s="80"/>
      <c r="N16" s="80"/>
    </row>
    <row r="17" spans="1:14" ht="13.5" customHeight="1" x14ac:dyDescent="0.25">
      <c r="A17" s="75">
        <f>+'(skema1-7_2017 - 17pl)'!A17</f>
        <v>5000</v>
      </c>
      <c r="B17" s="7" t="str">
        <f>+'(skema1-7_2017 - 17pl)'!B17</f>
        <v>Sygehus Sønderjylland</v>
      </c>
      <c r="C17" s="47">
        <v>1908715</v>
      </c>
      <c r="D17" s="5">
        <v>55804</v>
      </c>
      <c r="E17" s="5">
        <v>38583</v>
      </c>
      <c r="F17" s="5">
        <v>509</v>
      </c>
      <c r="G17" s="5">
        <v>10829</v>
      </c>
      <c r="H17" s="5">
        <v>108354</v>
      </c>
      <c r="I17" s="5">
        <v>2532</v>
      </c>
      <c r="J17" s="9">
        <f t="shared" si="2"/>
        <v>1880878</v>
      </c>
      <c r="K17" s="160"/>
      <c r="L17" s="16"/>
      <c r="M17" s="80"/>
      <c r="N17" s="80"/>
    </row>
    <row r="18" spans="1:14" ht="13.5" customHeight="1" x14ac:dyDescent="0.25">
      <c r="A18" s="75">
        <f>+'(skema1-7_2017 - 17pl)'!A18</f>
        <v>5501</v>
      </c>
      <c r="B18" s="7" t="str">
        <f>+'(skema1-7_2017 - 17pl)'!B18</f>
        <v>Sydvestjysk Sygehus</v>
      </c>
      <c r="C18" s="47">
        <v>1885017</v>
      </c>
      <c r="D18" s="5">
        <v>55198</v>
      </c>
      <c r="E18" s="5">
        <v>38164</v>
      </c>
      <c r="F18" s="5">
        <v>3497</v>
      </c>
      <c r="G18" s="5">
        <v>2219</v>
      </c>
      <c r="H18" s="5">
        <v>94935</v>
      </c>
      <c r="I18" s="5">
        <v>217</v>
      </c>
      <c r="J18" s="9">
        <f t="shared" si="2"/>
        <v>1877511</v>
      </c>
      <c r="K18" s="160"/>
      <c r="L18" s="16"/>
      <c r="M18" s="80"/>
      <c r="N18" s="80"/>
    </row>
    <row r="19" spans="1:14" ht="13.5" customHeight="1" x14ac:dyDescent="0.25">
      <c r="A19" s="75">
        <f>+'(skema1-7_2017 - 17pl)'!A19</f>
        <v>6007</v>
      </c>
      <c r="B19" s="7" t="str">
        <f>+'(skema1-7_2017 - 17pl)'!B19</f>
        <v>Fredericia og Kolding sygehuse</v>
      </c>
      <c r="C19" s="47">
        <v>1536961.1663566888</v>
      </c>
      <c r="D19" s="5">
        <v>45410</v>
      </c>
      <c r="E19" s="5">
        <v>31397</v>
      </c>
      <c r="F19" s="5">
        <v>0</v>
      </c>
      <c r="G19" s="5">
        <v>523.332617892489</v>
      </c>
      <c r="H19" s="5">
        <v>50426.49447095301</v>
      </c>
      <c r="I19" s="5">
        <v>-6200</v>
      </c>
      <c r="J19" s="9">
        <f t="shared" si="2"/>
        <v>1569018.3392678434</v>
      </c>
      <c r="K19" s="160"/>
      <c r="L19" s="16"/>
      <c r="M19" s="80"/>
      <c r="N19" s="80"/>
    </row>
    <row r="20" spans="1:14" ht="13.5" customHeight="1" x14ac:dyDescent="0.25">
      <c r="A20" s="75">
        <f>+'(skema1-7_2017 - 17pl)'!A20</f>
        <v>6008</v>
      </c>
      <c r="B20" s="7" t="str">
        <f>+'(skema1-7_2017 - 17pl)'!B20</f>
        <v>Vejle-Give-Middelfart sygehuse</v>
      </c>
      <c r="C20" s="47">
        <v>1874515.9324311179</v>
      </c>
      <c r="D20" s="5">
        <v>55501</v>
      </c>
      <c r="E20" s="5">
        <v>38374</v>
      </c>
      <c r="F20" s="5">
        <v>3627.6902099999998</v>
      </c>
      <c r="G20" s="5">
        <v>5099.64031210751</v>
      </c>
      <c r="H20" s="5">
        <v>64277.606729046995</v>
      </c>
      <c r="I20" s="5">
        <v>1004</v>
      </c>
      <c r="J20" s="9">
        <f t="shared" si="2"/>
        <v>1894381.9951799633</v>
      </c>
      <c r="K20" s="160"/>
      <c r="L20" s="16"/>
      <c r="M20" s="80"/>
      <c r="N20" s="80"/>
    </row>
    <row r="21" spans="1:14" ht="13.5" customHeight="1" x14ac:dyDescent="0.25">
      <c r="A21" s="75">
        <f>+'(skema1-7_2017 - 17pl)'!A21</f>
        <v>6013</v>
      </c>
      <c r="B21" s="7" t="str">
        <f>+'(skema1-7_2017 - 17pl)'!B21</f>
        <v>De Vestdanske Friklinikker, Give</v>
      </c>
      <c r="C21" s="47">
        <v>64398</v>
      </c>
      <c r="D21" s="5">
        <v>2436</v>
      </c>
      <c r="E21" s="5">
        <v>1685</v>
      </c>
      <c r="F21" s="5">
        <v>0</v>
      </c>
      <c r="G21" s="5">
        <v>0</v>
      </c>
      <c r="H21" s="5">
        <v>0</v>
      </c>
      <c r="I21" s="5">
        <v>0</v>
      </c>
      <c r="J21" s="9">
        <f t="shared" si="2"/>
        <v>68519</v>
      </c>
      <c r="K21" s="160"/>
      <c r="L21" s="16"/>
      <c r="M21" s="80"/>
      <c r="N21" s="80"/>
    </row>
    <row r="22" spans="1:14" ht="13.5" customHeight="1" x14ac:dyDescent="0.25">
      <c r="A22" s="75">
        <f>+'(skema1-7_2017 - 17pl)'!A22</f>
        <v>6006</v>
      </c>
      <c r="B22" s="7" t="str">
        <f>+'(skema1-7_2017 - 17pl)'!B22</f>
        <v>Hospitalenheden Horsens</v>
      </c>
      <c r="C22" s="47">
        <v>1045658</v>
      </c>
      <c r="D22" s="5">
        <v>34635</v>
      </c>
      <c r="E22" s="5">
        <v>22632</v>
      </c>
      <c r="F22" s="5">
        <v>0</v>
      </c>
      <c r="G22" s="5">
        <v>255</v>
      </c>
      <c r="H22" s="5">
        <v>49224.925260000004</v>
      </c>
      <c r="I22" s="5">
        <v>-24769</v>
      </c>
      <c r="J22" s="9">
        <f t="shared" si="2"/>
        <v>1078214.0747400001</v>
      </c>
      <c r="K22" s="160"/>
      <c r="L22" s="16"/>
      <c r="M22" s="80"/>
      <c r="N22" s="80"/>
    </row>
    <row r="23" spans="1:14" ht="13.5" customHeight="1" x14ac:dyDescent="0.25">
      <c r="A23" s="75">
        <f>+'(skema1-7_2017 - 17pl)'!A23</f>
        <v>6650</v>
      </c>
      <c r="B23" s="7" t="str">
        <f>+'(skema1-7_2017 - 17pl)'!B23</f>
        <v>Hospitalsenheden Vest</v>
      </c>
      <c r="C23" s="47">
        <v>2345561</v>
      </c>
      <c r="D23" s="5">
        <v>79177</v>
      </c>
      <c r="E23" s="5">
        <v>51737</v>
      </c>
      <c r="F23" s="5">
        <v>0</v>
      </c>
      <c r="G23" s="5">
        <v>1742</v>
      </c>
      <c r="H23" s="5">
        <v>97974</v>
      </c>
      <c r="I23" s="5">
        <v>-52326</v>
      </c>
      <c r="J23" s="9">
        <f t="shared" si="2"/>
        <v>2429085</v>
      </c>
      <c r="K23" s="160"/>
      <c r="L23" s="16"/>
      <c r="M23" s="80"/>
      <c r="N23" s="80"/>
    </row>
    <row r="24" spans="1:14" ht="13.5" customHeight="1" x14ac:dyDescent="0.25">
      <c r="A24" s="75">
        <f>+'(skema1-7_2017 - 17pl)'!A24</f>
        <v>6620</v>
      </c>
      <c r="B24" s="7" t="str">
        <f>+'(skema1-7_2017 - 17pl)'!B24</f>
        <v>Aarhus Universitetshospital</v>
      </c>
      <c r="C24" s="47">
        <v>6927524</v>
      </c>
      <c r="D24" s="5">
        <v>324494</v>
      </c>
      <c r="E24" s="5">
        <v>164042</v>
      </c>
      <c r="F24" s="5">
        <v>0</v>
      </c>
      <c r="G24" s="5">
        <v>32795</v>
      </c>
      <c r="H24" s="5">
        <v>-324989</v>
      </c>
      <c r="I24" s="5">
        <v>109012</v>
      </c>
      <c r="J24" s="9">
        <f t="shared" si="2"/>
        <v>7599242</v>
      </c>
      <c r="K24" s="160"/>
      <c r="L24" s="16"/>
      <c r="M24" s="80"/>
      <c r="N24" s="80"/>
    </row>
    <row r="25" spans="1:14" ht="13.5" customHeight="1" x14ac:dyDescent="0.25">
      <c r="A25" s="75">
        <f>+'(skema1-7_2017 - 17pl)'!A25</f>
        <v>7005</v>
      </c>
      <c r="B25" s="7" t="str">
        <f>+'(skema1-7_2017 - 17pl)'!B25</f>
        <v>Regionshospitalet Randers</v>
      </c>
      <c r="C25" s="47">
        <v>1151782</v>
      </c>
      <c r="D25" s="5">
        <v>38336</v>
      </c>
      <c r="E25" s="5">
        <v>25050</v>
      </c>
      <c r="F25" s="5">
        <v>0</v>
      </c>
      <c r="G25" s="5">
        <v>79</v>
      </c>
      <c r="H25" s="5">
        <v>30333</v>
      </c>
      <c r="I25" s="5">
        <v>-16830</v>
      </c>
      <c r="J25" s="9">
        <f t="shared" si="2"/>
        <v>1201586</v>
      </c>
      <c r="K25" s="160"/>
      <c r="L25" s="16"/>
      <c r="M25" s="80"/>
      <c r="N25" s="80"/>
    </row>
    <row r="26" spans="1:14" ht="13.5" customHeight="1" x14ac:dyDescent="0.25">
      <c r="A26" s="75">
        <f>+'(skema1-7_2017 - 17pl)'!A26</f>
        <v>6630</v>
      </c>
      <c r="B26" s="7" t="str">
        <f>+'(skema1-7_2017 - 17pl)'!B26</f>
        <v>Hospitalsenhed Midt</v>
      </c>
      <c r="C26" s="47">
        <v>2362903</v>
      </c>
      <c r="D26" s="5">
        <v>84184</v>
      </c>
      <c r="E26" s="5">
        <v>55009</v>
      </c>
      <c r="F26" s="5">
        <v>0</v>
      </c>
      <c r="G26" s="5">
        <v>4000</v>
      </c>
      <c r="H26" s="5">
        <v>-63536</v>
      </c>
      <c r="I26" s="5">
        <v>-7008</v>
      </c>
      <c r="J26" s="9">
        <f t="shared" si="2"/>
        <v>2568640</v>
      </c>
      <c r="K26" s="160"/>
      <c r="L26" s="16"/>
      <c r="M26" s="80"/>
      <c r="N26" s="80"/>
    </row>
    <row r="27" spans="1:14" ht="13.5" customHeight="1" x14ac:dyDescent="0.25">
      <c r="A27" s="75">
        <f>+'(skema1-7_2017 - 17pl)'!A27</f>
        <v>8001</v>
      </c>
      <c r="B27" s="7" t="str">
        <f>+'(skema1-7_2017 - 17pl)'!B27</f>
        <v>Aalborg Universitetshospital</v>
      </c>
      <c r="C27" s="47">
        <v>5684876</v>
      </c>
      <c r="D27" s="5">
        <v>214398</v>
      </c>
      <c r="E27" s="5">
        <v>112275</v>
      </c>
      <c r="F27" s="5">
        <v>0</v>
      </c>
      <c r="G27" s="5">
        <v>26251</v>
      </c>
      <c r="H27" s="5">
        <v>893107</v>
      </c>
      <c r="I27" s="5">
        <v>-93565.811000000016</v>
      </c>
      <c r="J27" s="9">
        <f t="shared" si="2"/>
        <v>5185756.8109999998</v>
      </c>
      <c r="K27" s="160"/>
      <c r="L27" s="16"/>
      <c r="M27" s="16"/>
      <c r="N27" s="80"/>
    </row>
    <row r="28" spans="1:14" ht="13.5" customHeight="1" x14ac:dyDescent="0.25">
      <c r="A28" s="75">
        <f>+'(skema1-7_2017 - 17pl)'!A28</f>
        <v>8003</v>
      </c>
      <c r="B28" s="7" t="str">
        <f>+'(skema1-7_2017 - 17pl)'!B28</f>
        <v>Regionshospitalet Nordjylland</v>
      </c>
      <c r="C28" s="47">
        <v>1169587</v>
      </c>
      <c r="D28" s="5">
        <v>72752</v>
      </c>
      <c r="E28" s="5">
        <v>45668</v>
      </c>
      <c r="F28" s="5">
        <v>0</v>
      </c>
      <c r="G28" s="5">
        <v>4652</v>
      </c>
      <c r="H28" s="5">
        <v>100990</v>
      </c>
      <c r="I28" s="5">
        <v>95360.003000000012</v>
      </c>
      <c r="J28" s="9">
        <f t="shared" si="2"/>
        <v>1087004.997</v>
      </c>
      <c r="K28" s="160"/>
      <c r="L28" s="16"/>
      <c r="M28" s="16"/>
      <c r="N28" s="80"/>
    </row>
    <row r="29" spans="1:14" ht="13.5" customHeight="1" x14ac:dyDescent="0.25">
      <c r="A29" s="13"/>
      <c r="B29" s="30" t="s">
        <v>14</v>
      </c>
      <c r="C29" s="14">
        <f t="shared" ref="C29:I29" si="3">+SUM(C5:C28)</f>
        <v>60497793.078337811</v>
      </c>
      <c r="D29" s="14">
        <f t="shared" si="3"/>
        <v>3175375.0182342296</v>
      </c>
      <c r="E29" s="14">
        <f t="shared" si="3"/>
        <v>3084586.0901054284</v>
      </c>
      <c r="F29" s="14">
        <f t="shared" si="3"/>
        <v>15285.397209999999</v>
      </c>
      <c r="G29" s="14">
        <f t="shared" si="3"/>
        <v>390831.43314896966</v>
      </c>
      <c r="H29" s="14">
        <f t="shared" si="3"/>
        <v>-663982.12977360561</v>
      </c>
      <c r="I29" s="14">
        <f t="shared" si="3"/>
        <v>34343.945460141083</v>
      </c>
      <c r="J29" s="14">
        <f>SUM(C29:E29)-SUM(F29:I29)</f>
        <v>66981275.540631965</v>
      </c>
      <c r="K29" s="35"/>
      <c r="L29" s="79"/>
      <c r="M29" s="39"/>
    </row>
    <row r="30" spans="1:14" ht="13.5" customHeight="1" x14ac:dyDescent="0.25">
      <c r="A30" s="37"/>
      <c r="B30" s="15"/>
      <c r="C30" s="16"/>
      <c r="D30" s="16"/>
      <c r="E30" s="16"/>
      <c r="F30" s="16"/>
      <c r="G30" s="16"/>
      <c r="H30" s="16"/>
      <c r="I30" s="16"/>
      <c r="J30" s="16"/>
      <c r="L30" s="79"/>
      <c r="M30" s="39"/>
    </row>
    <row r="31" spans="1:14" ht="13.5" customHeight="1" x14ac:dyDescent="0.25">
      <c r="A31" s="37"/>
      <c r="B31" s="17" t="s">
        <v>26</v>
      </c>
      <c r="C31" s="18">
        <f t="shared" ref="C31:J31" si="4">SUM(C5:C11)</f>
        <v>18063146.678770002</v>
      </c>
      <c r="D31" s="18">
        <f t="shared" si="4"/>
        <v>1186961.7083242293</v>
      </c>
      <c r="E31" s="18">
        <f t="shared" si="4"/>
        <v>1916561.9827754283</v>
      </c>
      <c r="F31" s="18">
        <f t="shared" si="4"/>
        <v>0</v>
      </c>
      <c r="G31" s="18">
        <f t="shared" si="4"/>
        <v>187918.02399000002</v>
      </c>
      <c r="H31" s="18">
        <f t="shared" si="4"/>
        <v>-2310885.8549550571</v>
      </c>
      <c r="I31" s="18">
        <f t="shared" si="4"/>
        <v>17921.776320149424</v>
      </c>
      <c r="J31" s="6">
        <f t="shared" si="4"/>
        <v>23271716.424514569</v>
      </c>
      <c r="L31" s="79"/>
      <c r="M31" s="39"/>
    </row>
    <row r="32" spans="1:14" ht="13.5" customHeight="1" x14ac:dyDescent="0.25">
      <c r="A32" s="37"/>
      <c r="B32" s="19" t="s">
        <v>27</v>
      </c>
      <c r="C32" s="5">
        <f t="shared" ref="C32:J32" si="5">SUM(C12:C15)</f>
        <v>7404696.0297800004</v>
      </c>
      <c r="D32" s="5">
        <f t="shared" si="5"/>
        <v>711287.30991000007</v>
      </c>
      <c r="E32" s="5">
        <f t="shared" si="5"/>
        <v>394895.10732999997</v>
      </c>
      <c r="F32" s="5">
        <f t="shared" si="5"/>
        <v>0</v>
      </c>
      <c r="G32" s="5">
        <f t="shared" si="5"/>
        <v>101877.56722896964</v>
      </c>
      <c r="H32" s="5">
        <f t="shared" si="5"/>
        <v>301641.89972145192</v>
      </c>
      <c r="I32" s="5">
        <f t="shared" si="5"/>
        <v>6549.4531399916668</v>
      </c>
      <c r="J32" s="8">
        <f t="shared" si="5"/>
        <v>8100809.5269295881</v>
      </c>
      <c r="L32" s="79"/>
      <c r="M32" s="39"/>
    </row>
    <row r="33" spans="1:13" ht="13.5" customHeight="1" x14ac:dyDescent="0.25">
      <c r="A33" s="37"/>
      <c r="B33" s="19" t="s">
        <v>28</v>
      </c>
      <c r="C33" s="5">
        <f t="shared" ref="C33:J33" si="6">SUM(C16:C21)</f>
        <v>14342059.369787807</v>
      </c>
      <c r="D33" s="5">
        <f t="shared" si="6"/>
        <v>429150</v>
      </c>
      <c r="E33" s="5">
        <f t="shared" si="6"/>
        <v>296716</v>
      </c>
      <c r="F33" s="5">
        <f t="shared" si="6"/>
        <v>15285.397209999999</v>
      </c>
      <c r="G33" s="5">
        <f t="shared" si="6"/>
        <v>31261.841929999999</v>
      </c>
      <c r="H33" s="5">
        <f t="shared" si="6"/>
        <v>562157.90020000003</v>
      </c>
      <c r="I33" s="5">
        <f t="shared" si="6"/>
        <v>-0.47599999999965803</v>
      </c>
      <c r="J33" s="8">
        <f t="shared" si="6"/>
        <v>14459220.706447806</v>
      </c>
      <c r="L33" s="79"/>
      <c r="M33" s="39"/>
    </row>
    <row r="34" spans="1:13" ht="13.5" customHeight="1" x14ac:dyDescent="0.25">
      <c r="A34" s="37"/>
      <c r="B34" s="19" t="s">
        <v>29</v>
      </c>
      <c r="C34" s="5">
        <f t="shared" ref="C34:J34" si="7">SUM(C22:C26)</f>
        <v>13833428</v>
      </c>
      <c r="D34" s="5">
        <f t="shared" si="7"/>
        <v>560826</v>
      </c>
      <c r="E34" s="5">
        <f t="shared" si="7"/>
        <v>318470</v>
      </c>
      <c r="F34" s="5">
        <f t="shared" si="7"/>
        <v>0</v>
      </c>
      <c r="G34" s="5">
        <f t="shared" si="7"/>
        <v>38871</v>
      </c>
      <c r="H34" s="5">
        <f t="shared" si="7"/>
        <v>-210993.07474000001</v>
      </c>
      <c r="I34" s="5">
        <f t="shared" si="7"/>
        <v>8079</v>
      </c>
      <c r="J34" s="8">
        <f t="shared" si="7"/>
        <v>14876767.07474</v>
      </c>
      <c r="L34" s="79"/>
      <c r="M34" s="39"/>
    </row>
    <row r="35" spans="1:13" ht="13.5" customHeight="1" x14ac:dyDescent="0.25">
      <c r="A35" s="38"/>
      <c r="B35" s="20" t="s">
        <v>30</v>
      </c>
      <c r="C35" s="10">
        <f t="shared" ref="C35:J35" si="8">+SUM(C27:C28)</f>
        <v>6854463</v>
      </c>
      <c r="D35" s="10">
        <f t="shared" si="8"/>
        <v>287150</v>
      </c>
      <c r="E35" s="10">
        <f t="shared" si="8"/>
        <v>157943</v>
      </c>
      <c r="F35" s="10">
        <f t="shared" si="8"/>
        <v>0</v>
      </c>
      <c r="G35" s="10">
        <f t="shared" si="8"/>
        <v>30903</v>
      </c>
      <c r="H35" s="10">
        <f t="shared" si="8"/>
        <v>994097</v>
      </c>
      <c r="I35" s="10">
        <f t="shared" si="8"/>
        <v>1794.1919999999955</v>
      </c>
      <c r="J35" s="21">
        <f t="shared" si="8"/>
        <v>6272761.8080000002</v>
      </c>
      <c r="L35" s="79"/>
      <c r="M35" s="39"/>
    </row>
    <row r="36" spans="1:13" ht="13.5" customHeight="1" x14ac:dyDescent="0.25">
      <c r="A36" s="38"/>
      <c r="B36" s="13" t="s">
        <v>14</v>
      </c>
      <c r="C36" s="18">
        <f>+SUM(C31:C35)</f>
        <v>60497793.078337811</v>
      </c>
      <c r="D36" s="22">
        <f t="shared" ref="D36:I36" si="9">+SUM(D31:D35)</f>
        <v>3175375.0182342296</v>
      </c>
      <c r="E36" s="22">
        <f t="shared" si="9"/>
        <v>3084586.0901054284</v>
      </c>
      <c r="F36" s="22">
        <f t="shared" si="9"/>
        <v>15285.397209999999</v>
      </c>
      <c r="G36" s="22">
        <f t="shared" si="9"/>
        <v>390831.43314896966</v>
      </c>
      <c r="H36" s="22">
        <f t="shared" si="9"/>
        <v>-663982.12977360515</v>
      </c>
      <c r="I36" s="22">
        <f t="shared" si="9"/>
        <v>34343.945460141083</v>
      </c>
      <c r="J36" s="23">
        <f>+SUM(J31:J35)</f>
        <v>66981275.540631957</v>
      </c>
      <c r="L36" s="79"/>
      <c r="M36" s="39"/>
    </row>
    <row r="37" spans="1:13" ht="13.5" customHeight="1" x14ac:dyDescent="0.25">
      <c r="C37" s="25"/>
      <c r="L37" s="79"/>
      <c r="M37" s="39"/>
    </row>
    <row r="38" spans="1:13" ht="13.5" customHeight="1" x14ac:dyDescent="0.25">
      <c r="C38" s="24"/>
      <c r="D38" s="24"/>
      <c r="E38" s="24"/>
      <c r="F38" s="24"/>
      <c r="G38" s="24"/>
      <c r="H38" s="24"/>
      <c r="I38" s="24"/>
      <c r="J38" s="24"/>
      <c r="L38" s="79"/>
      <c r="M38" s="39"/>
    </row>
    <row r="39" spans="1:13" ht="13.5" customHeight="1" x14ac:dyDescent="0.25">
      <c r="L39" s="79"/>
      <c r="M39" s="39"/>
    </row>
    <row r="40" spans="1:13" ht="13.5" customHeight="1" x14ac:dyDescent="0.25">
      <c r="C40" s="36"/>
      <c r="D40" s="36"/>
      <c r="E40" s="36"/>
      <c r="F40" s="36"/>
      <c r="G40" s="36"/>
      <c r="H40" s="36"/>
      <c r="I40" s="36"/>
      <c r="J40" s="36"/>
      <c r="L40" s="79"/>
      <c r="M40" s="39"/>
    </row>
    <row r="41" spans="1:13" ht="13.5" customHeight="1" x14ac:dyDescent="0.25">
      <c r="L41" s="79"/>
      <c r="M41" s="39"/>
    </row>
    <row r="42" spans="1:13" ht="13.5" customHeight="1" x14ac:dyDescent="0.25">
      <c r="L42" s="79"/>
      <c r="M42" s="39"/>
    </row>
    <row r="43" spans="1:13" ht="13.5" customHeight="1" x14ac:dyDescent="0.25">
      <c r="L43" s="79"/>
      <c r="M43" s="39"/>
    </row>
    <row r="44" spans="1:13" ht="13.5" customHeight="1" x14ac:dyDescent="0.25">
      <c r="L44" s="79"/>
      <c r="M44" s="39"/>
    </row>
    <row r="45" spans="1:13" x14ac:dyDescent="0.25">
      <c r="L45" s="79"/>
      <c r="M45" s="39"/>
    </row>
  </sheetData>
  <pageMargins left="0.51181102362204722" right="0.43307086614173229" top="0.51181102362204722" bottom="0.19685039370078741" header="0.23622047244094491" footer="0.23622047244094491"/>
  <pageSetup paperSize="9" scale="75" orientation="landscape" cellComments="asDisplayed" horizontalDpi="300" verticalDpi="300" r:id="rId1"/>
  <headerFooter alignWithMargins="0">
    <oddHeader>&amp;CSide &amp;P / &amp;N</oddHeader>
  </headerFooter>
  <ignoredErrors>
    <ignoredError sqref="C31:J35" formulaRange="1"/>
    <ignoredError sqref="J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opLeftCell="A7" zoomScaleNormal="100" workbookViewId="0">
      <selection activeCell="L13" sqref="L13"/>
    </sheetView>
  </sheetViews>
  <sheetFormatPr defaultColWidth="9.1796875" defaultRowHeight="11.5" x14ac:dyDescent="0.25"/>
  <cols>
    <col min="1" max="1" width="8.54296875" style="24" customWidth="1"/>
    <col min="2" max="2" width="39.26953125" style="24" customWidth="1"/>
    <col min="3" max="8" width="10" style="26" customWidth="1"/>
    <col min="9" max="9" width="18.81640625" style="26" bestFit="1" customWidth="1"/>
    <col min="10" max="10" width="19.26953125" style="26" customWidth="1"/>
    <col min="11" max="11" width="9.1796875" style="24"/>
    <col min="12" max="12" width="8" style="24" customWidth="1"/>
    <col min="13" max="13" width="9.1796875" style="24"/>
    <col min="14" max="14" width="8.54296875" style="24" customWidth="1"/>
    <col min="15" max="16384" width="9.1796875" style="24"/>
  </cols>
  <sheetData>
    <row r="1" spans="1:18" ht="15.5" x14ac:dyDescent="0.35">
      <c r="A1" s="72" t="str">
        <f>'Skema1-7_2017'!A1</f>
        <v>Offentliggjort 9. marts 2021</v>
      </c>
      <c r="N1" s="39"/>
      <c r="O1" s="39"/>
      <c r="P1" s="39"/>
      <c r="Q1" s="39"/>
      <c r="R1" s="39"/>
    </row>
    <row r="2" spans="1:18" ht="13.5" customHeight="1" x14ac:dyDescent="0.3">
      <c r="A2" s="31" t="s">
        <v>87</v>
      </c>
      <c r="E2" s="27"/>
      <c r="F2" s="27"/>
      <c r="G2" s="27"/>
      <c r="H2" s="28"/>
      <c r="I2" s="32"/>
      <c r="J2" s="28"/>
      <c r="N2" s="39"/>
      <c r="O2" s="39"/>
      <c r="P2" s="39"/>
      <c r="Q2" s="39"/>
      <c r="R2" s="39"/>
    </row>
    <row r="3" spans="1:18" ht="13.5" customHeight="1" x14ac:dyDescent="0.3">
      <c r="A3" s="33" t="s">
        <v>42</v>
      </c>
      <c r="E3" s="27"/>
      <c r="F3" s="27"/>
      <c r="G3" s="27"/>
      <c r="H3" s="28"/>
      <c r="I3" s="27"/>
      <c r="J3" s="28"/>
      <c r="N3" s="39"/>
      <c r="O3" s="39"/>
      <c r="P3" s="39"/>
      <c r="Q3" s="39"/>
      <c r="R3" s="39"/>
    </row>
    <row r="4" spans="1:18" ht="54" customHeight="1" x14ac:dyDescent="0.25">
      <c r="A4" s="73" t="s">
        <v>6</v>
      </c>
      <c r="B4" s="73" t="s">
        <v>0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15</v>
      </c>
      <c r="N4" s="39"/>
      <c r="O4" s="39"/>
      <c r="P4" s="39"/>
      <c r="Q4" s="39"/>
      <c r="R4" s="39"/>
    </row>
    <row r="5" spans="1:18" ht="13.5" customHeight="1" x14ac:dyDescent="0.25">
      <c r="A5" s="74">
        <f>+'(skema1-7_2017 - 17pl)'!A5</f>
        <v>1301</v>
      </c>
      <c r="B5" s="4" t="str">
        <f>+'(skema1-7_2017 - 17pl)'!B5</f>
        <v>Rigshospitalet</v>
      </c>
      <c r="C5" s="88">
        <f>IF((ROUND('Skema1-7_2017'!C5,0))=0,"-",((('Skema1-7_2018'!C5-'Skema1-7_2017'!C5)/'Skema1-7_2017'!C5))*100)</f>
        <v>-3.3641095393768632</v>
      </c>
      <c r="D5" s="88">
        <f>IF((ROUND('Skema1-7_2017'!D5,0))=0,"-",((('Skema1-7_2018'!D5-'Skema1-7_2017'!D5)/'Skema1-7_2017'!D5))*100)</f>
        <v>-6.229259100266205</v>
      </c>
      <c r="E5" s="88">
        <f>IF((ROUND('Skema1-7_2017'!E5,0))=0,"-",((('Skema1-7_2018'!E5-'Skema1-7_2017'!E5)/'Skema1-7_2017'!E5))*100)</f>
        <v>4.93159561125408</v>
      </c>
      <c r="F5" s="88" t="str">
        <f>IF((ROUND('Skema1-7_2017'!F5,0))=0,"-",((('Skema1-7_2018'!F5-'Skema1-7_2017'!F5)/'Skema1-7_2017'!F5))*100)</f>
        <v>-</v>
      </c>
      <c r="G5" s="88">
        <f>IF((ROUND('Skema1-7_2017'!G5,0))=0,"-",((('Skema1-7_2018'!G5-'Skema1-7_2017'!G5)/'Skema1-7_2017'!G5))*100)</f>
        <v>48.297040048328412</v>
      </c>
      <c r="H5" s="88">
        <f>IF((ROUND('Skema1-7_2017'!H5,0))=0,"-",((('Skema1-7_2018'!H5-'Skema1-7_2017'!H5)/'Skema1-7_2017'!H5))*100)</f>
        <v>14.440855031151337</v>
      </c>
      <c r="I5" s="88">
        <f>IF((ROUND('Skema1-7_2017'!I5,0))=0,"-",((('Skema1-7_2018'!I5-'Skema1-7_2017'!I5)/'Skema1-7_2017'!I5))*100)</f>
        <v>74.527534757143599</v>
      </c>
      <c r="J5" s="88">
        <f>IF((ROUND('Skema1-7_2017'!J5,0))=0,"-",((('Skema1-7_2018'!J5-'Skema1-7_2017'!J5)/'Skema1-7_2017'!J5))*100)</f>
        <v>0.39616949726334155</v>
      </c>
      <c r="N5" s="39"/>
      <c r="O5" s="39"/>
      <c r="P5" s="39"/>
      <c r="Q5" s="39"/>
      <c r="R5" s="39"/>
    </row>
    <row r="6" spans="1:18" ht="13.5" customHeight="1" x14ac:dyDescent="0.25">
      <c r="A6" s="75">
        <f>+'(skema1-7_2017 - 17pl)'!A6</f>
        <v>1309</v>
      </c>
      <c r="B6" s="7" t="str">
        <f>+'(skema1-7_2017 - 17pl)'!B6</f>
        <v>Bispebjerg og Frederiksberg Hospital</v>
      </c>
      <c r="C6" s="88">
        <f>IF((ROUND('Skema1-7_2017'!C6,0))=0,"-",((('Skema1-7_2018'!C6-'Skema1-7_2017'!C6)/'Skema1-7_2017'!C6))*100)</f>
        <v>-0.37953114749403577</v>
      </c>
      <c r="D6" s="88">
        <f>IF((ROUND('Skema1-7_2017'!D6,0))=0,"-",((('Skema1-7_2018'!D6-'Skema1-7_2017'!D6)/'Skema1-7_2017'!D6))*100)</f>
        <v>-4.4148238469066046</v>
      </c>
      <c r="E6" s="88">
        <f>IF((ROUND('Skema1-7_2017'!E6,0))=0,"-",((('Skema1-7_2018'!E6-'Skema1-7_2017'!E6)/'Skema1-7_2017'!E6))*100)</f>
        <v>4.6433897086293596</v>
      </c>
      <c r="F6" s="88" t="str">
        <f>IF((ROUND('Skema1-7_2017'!F6,0))=0,"-",((('Skema1-7_2018'!F6-'Skema1-7_2017'!F6)/'Skema1-7_2017'!F6))*100)</f>
        <v>-</v>
      </c>
      <c r="G6" s="88">
        <f>IF((ROUND('Skema1-7_2017'!G6,0))=0,"-",((('Skema1-7_2018'!G6-'Skema1-7_2017'!G6)/'Skema1-7_2017'!G6))*100)</f>
        <v>21.700361502118195</v>
      </c>
      <c r="H6" s="88">
        <f>IF((ROUND('Skema1-7_2017'!H6,0))=0,"-",((('Skema1-7_2018'!H6-'Skema1-7_2017'!H6)/'Skema1-7_2017'!H6))*100)</f>
        <v>-54.576388006239853</v>
      </c>
      <c r="I6" s="88">
        <f>IF((ROUND('Skema1-7_2017'!I6,0))=0,"-",((('Skema1-7_2018'!I6-'Skema1-7_2017'!I6)/'Skema1-7_2017'!I6))*100)</f>
        <v>-78.981491847565991</v>
      </c>
      <c r="J6" s="88">
        <f>IF((ROUND('Skema1-7_2017'!J6,0))=0,"-",((('Skema1-7_2018'!J6-'Skema1-7_2017'!J6)/'Skema1-7_2017'!J6))*100)</f>
        <v>-0.59407207166977349</v>
      </c>
      <c r="N6" s="39"/>
      <c r="O6" s="39"/>
      <c r="P6" s="39"/>
      <c r="Q6" s="39"/>
      <c r="R6" s="39"/>
    </row>
    <row r="7" spans="1:18" ht="13.5" customHeight="1" x14ac:dyDescent="0.25">
      <c r="A7" s="75">
        <f>+'(skema1-7_2017 - 17pl)'!A7</f>
        <v>1330</v>
      </c>
      <c r="B7" s="7" t="str">
        <f>+'(skema1-7_2017 - 17pl)'!B7</f>
        <v>Amager og Hvidovre Hospital</v>
      </c>
      <c r="C7" s="88">
        <f>IF((ROUND('Skema1-7_2017'!C7,0))=0,"-",((('Skema1-7_2018'!C7-'Skema1-7_2017'!C7)/'Skema1-7_2017'!C7))*100)</f>
        <v>-4.5645189109445496</v>
      </c>
      <c r="D7" s="88">
        <f>IF((ROUND('Skema1-7_2017'!D7,0))=0,"-",((('Skema1-7_2018'!D7-'Skema1-7_2017'!D7)/'Skema1-7_2017'!D7))*100)</f>
        <v>-6.5099948719858673</v>
      </c>
      <c r="E7" s="88">
        <f>IF((ROUND('Skema1-7_2017'!E7,0))=0,"-",((('Skema1-7_2018'!E7-'Skema1-7_2017'!E7)/'Skema1-7_2017'!E7))*100)</f>
        <v>2.8862756812101877</v>
      </c>
      <c r="F7" s="88" t="str">
        <f>IF((ROUND('Skema1-7_2017'!F7,0))=0,"-",((('Skema1-7_2018'!F7-'Skema1-7_2017'!F7)/'Skema1-7_2017'!F7))*100)</f>
        <v>-</v>
      </c>
      <c r="G7" s="88">
        <f>IF((ROUND('Skema1-7_2017'!G7,0))=0,"-",((('Skema1-7_2018'!G7-'Skema1-7_2017'!G7)/'Skema1-7_2017'!G7))*100)</f>
        <v>64.386589062233142</v>
      </c>
      <c r="H7" s="88">
        <f>IF((ROUND('Skema1-7_2017'!H7,0))=0,"-",((('Skema1-7_2018'!H7-'Skema1-7_2017'!H7)/'Skema1-7_2017'!H7))*100)</f>
        <v>7221.8461812261867</v>
      </c>
      <c r="I7" s="88">
        <f>IF((ROUND('Skema1-7_2017'!I7,0))=0,"-",((('Skema1-7_2018'!I7-'Skema1-7_2017'!I7)/'Skema1-7_2017'!I7))*100)</f>
        <v>-66.849057181179134</v>
      </c>
      <c r="J7" s="88">
        <f>IF((ROUND('Skema1-7_2017'!J7,0))=0,"-",((('Skema1-7_2018'!J7-'Skema1-7_2017'!J7)/'Skema1-7_2017'!J7))*100)</f>
        <v>-1.3538945711901624</v>
      </c>
      <c r="N7" s="39"/>
      <c r="O7" s="39"/>
      <c r="P7" s="39"/>
      <c r="Q7" s="39"/>
      <c r="R7" s="39"/>
    </row>
    <row r="8" spans="1:18" ht="13.5" customHeight="1" x14ac:dyDescent="0.25">
      <c r="A8" s="75">
        <f>+'(skema1-7_2017 - 17pl)'!A8</f>
        <v>1516</v>
      </c>
      <c r="B8" s="7" t="str">
        <f>+'(skema1-7_2017 - 17pl)'!B8</f>
        <v>Herlev og Gentofte Hospital</v>
      </c>
      <c r="C8" s="88">
        <f>IF((ROUND('Skema1-7_2017'!C8,0))=0,"-",((('Skema1-7_2018'!C8-'Skema1-7_2017'!C8)/'Skema1-7_2017'!C8))*100)</f>
        <v>1.4662069186276787</v>
      </c>
      <c r="D8" s="88">
        <f>IF((ROUND('Skema1-7_2017'!D8,0))=0,"-",((('Skema1-7_2018'!D8-'Skema1-7_2017'!D8)/'Skema1-7_2017'!D8))*100)</f>
        <v>-5.0893561099082056</v>
      </c>
      <c r="E8" s="88">
        <f>IF((ROUND('Skema1-7_2017'!E8,0))=0,"-",((('Skema1-7_2018'!E8-'Skema1-7_2017'!E8)/'Skema1-7_2017'!E8))*100)</f>
        <v>5.2564835418815701</v>
      </c>
      <c r="F8" s="88" t="str">
        <f>IF((ROUND('Skema1-7_2017'!F8,0))=0,"-",((('Skema1-7_2018'!F8-'Skema1-7_2017'!F8)/'Skema1-7_2017'!F8))*100)</f>
        <v>-</v>
      </c>
      <c r="G8" s="88">
        <f>IF((ROUND('Skema1-7_2017'!G8,0))=0,"-",((('Skema1-7_2018'!G8-'Skema1-7_2017'!G8)/'Skema1-7_2017'!G8))*100)</f>
        <v>66.495459970833153</v>
      </c>
      <c r="H8" s="88">
        <f>IF((ROUND('Skema1-7_2017'!H8,0))=0,"-",((('Skema1-7_2018'!H8-'Skema1-7_2017'!H8)/'Skema1-7_2017'!H8))*100)</f>
        <v>-15.669394887508236</v>
      </c>
      <c r="I8" s="88">
        <f>IF((ROUND('Skema1-7_2017'!I8,0))=0,"-",((('Skema1-7_2018'!I8-'Skema1-7_2017'!I8)/'Skema1-7_2017'!I8))*100)</f>
        <v>94.573444791261068</v>
      </c>
      <c r="J8" s="88">
        <f>IF((ROUND('Skema1-7_2017'!J8,0))=0,"-",((('Skema1-7_2018'!J8-'Skema1-7_2017'!J8)/'Skema1-7_2017'!J8))*100)</f>
        <v>0.77027280619492855</v>
      </c>
      <c r="N8" s="39"/>
      <c r="O8" s="39"/>
      <c r="P8" s="39"/>
      <c r="Q8" s="39"/>
      <c r="R8" s="39"/>
    </row>
    <row r="9" spans="1:18" ht="13.5" customHeight="1" x14ac:dyDescent="0.25">
      <c r="A9" s="75">
        <f>+'(skema1-7_2017 - 17pl)'!A9</f>
        <v>1507</v>
      </c>
      <c r="B9" s="7" t="str">
        <f>+'(skema1-7_2017 - 17pl)'!B9</f>
        <v>Steno Diabetes Center Copenhagen</v>
      </c>
      <c r="C9" s="88">
        <f>IF((ROUND('Skema1-7_2017'!C9,0))=0,"-",((('Skema1-7_2018'!C9-'Skema1-7_2017'!C9)/'Skema1-7_2017'!C9))*100)</f>
        <v>79.156155067203713</v>
      </c>
      <c r="D9" s="88">
        <f>IF((ROUND('Skema1-7_2017'!D9,0))=0,"-",((('Skema1-7_2018'!D9-'Skema1-7_2017'!D9)/'Skema1-7_2017'!D9))*100)</f>
        <v>37.956931109524916</v>
      </c>
      <c r="E9" s="88">
        <f>IF((ROUND('Skema1-7_2017'!E9,0))=0,"-",((('Skema1-7_2018'!E9-'Skema1-7_2017'!E9)/'Skema1-7_2017'!E9))*100)</f>
        <v>50.316108599780762</v>
      </c>
      <c r="F9" s="88" t="str">
        <f>IF((ROUND('Skema1-7_2017'!F9,0))=0,"-",((('Skema1-7_2018'!F9-'Skema1-7_2017'!F9)/'Skema1-7_2017'!F9))*100)</f>
        <v>-</v>
      </c>
      <c r="G9" s="88" t="str">
        <f>IF((ROUND('Skema1-7_2017'!G9,0))=0,"-",((('Skema1-7_2018'!G9-'Skema1-7_2017'!G9)/'Skema1-7_2017'!G9))*100)</f>
        <v>-</v>
      </c>
      <c r="H9" s="88">
        <f>IF((ROUND('Skema1-7_2017'!H9,0))=0,"-",((('Skema1-7_2018'!H9-'Skema1-7_2017'!H9)/'Skema1-7_2017'!H9))*100)</f>
        <v>-98.84309991170467</v>
      </c>
      <c r="I9" s="88">
        <f>IF((ROUND('Skema1-7_2017'!I9,0))=0,"-",((('Skema1-7_2018'!I9-'Skema1-7_2017'!I9)/'Skema1-7_2017'!I9))*100)</f>
        <v>-2608.284933800468</v>
      </c>
      <c r="J9" s="88">
        <f>IF((ROUND('Skema1-7_2017'!J9,0))=0,"-",((('Skema1-7_2018'!J9-'Skema1-7_2017'!J9)/'Skema1-7_2017'!J9))*100)</f>
        <v>45.689079302340971</v>
      </c>
      <c r="N9" s="39"/>
      <c r="O9" s="39"/>
      <c r="P9" s="39"/>
      <c r="Q9" s="39"/>
      <c r="R9" s="39"/>
    </row>
    <row r="10" spans="1:18" ht="13.5" customHeight="1" x14ac:dyDescent="0.25">
      <c r="A10" s="75">
        <f>+'(skema1-7_2017 - 17pl)'!A10</f>
        <v>2000</v>
      </c>
      <c r="B10" s="7" t="str">
        <f>+'(skema1-7_2017 - 17pl)'!B10</f>
        <v>Nordsjællands Hospital</v>
      </c>
      <c r="C10" s="88">
        <f>IF((ROUND('Skema1-7_2017'!C10,0))=0,"-",((('Skema1-7_2018'!C10-'Skema1-7_2017'!C10)/'Skema1-7_2017'!C10))*100)</f>
        <v>0.97595505714242192</v>
      </c>
      <c r="D10" s="88">
        <f>IF((ROUND('Skema1-7_2017'!D10,0))=0,"-",((('Skema1-7_2018'!D10-'Skema1-7_2017'!D10)/'Skema1-7_2017'!D10))*100)</f>
        <v>-3.6931853730217394</v>
      </c>
      <c r="E10" s="88">
        <f>IF((ROUND('Skema1-7_2017'!E10,0))=0,"-",((('Skema1-7_2018'!E10-'Skema1-7_2017'!E10)/'Skema1-7_2017'!E10))*100)</f>
        <v>5.564953056774856</v>
      </c>
      <c r="F10" s="88" t="str">
        <f>IF((ROUND('Skema1-7_2017'!F10,0))=0,"-",((('Skema1-7_2018'!F10-'Skema1-7_2017'!F10)/'Skema1-7_2017'!F10))*100)</f>
        <v>-</v>
      </c>
      <c r="G10" s="88">
        <f>IF((ROUND('Skema1-7_2017'!G10,0))=0,"-",((('Skema1-7_2018'!G10-'Skema1-7_2017'!G10)/'Skema1-7_2017'!G10))*100)</f>
        <v>8.0309544819198688</v>
      </c>
      <c r="H10" s="88">
        <f>IF((ROUND('Skema1-7_2017'!H10,0))=0,"-",((('Skema1-7_2018'!H10-'Skema1-7_2017'!H10)/'Skema1-7_2017'!H10))*100)</f>
        <v>-2.7238886666272202</v>
      </c>
      <c r="I10" s="88">
        <f>IF((ROUND('Skema1-7_2017'!I10,0))=0,"-",((('Skema1-7_2018'!I10-'Skema1-7_2017'!I10)/'Skema1-7_2017'!I10))*100)</f>
        <v>22.204234574832036</v>
      </c>
      <c r="J10" s="88">
        <f>IF((ROUND('Skema1-7_2017'!J10,0))=0,"-",((('Skema1-7_2018'!J10-'Skema1-7_2017'!J10)/'Skema1-7_2017'!J10))*100)</f>
        <v>1.2739780140025709</v>
      </c>
      <c r="N10" s="39"/>
      <c r="O10" s="39"/>
      <c r="P10" s="39"/>
      <c r="Q10" s="39"/>
      <c r="R10" s="39"/>
    </row>
    <row r="11" spans="1:18" ht="13.5" customHeight="1" x14ac:dyDescent="0.25">
      <c r="A11" s="75">
        <f>+'(skema1-7_2017 - 17pl)'!A11</f>
        <v>4001</v>
      </c>
      <c r="B11" s="7" t="str">
        <f>+'(skema1-7_2017 - 17pl)'!B11</f>
        <v>Bornholms Hospital</v>
      </c>
      <c r="C11" s="88">
        <f>IF((ROUND('Skema1-7_2017'!C11,0))=0,"-",((('Skema1-7_2018'!C11-'Skema1-7_2017'!C11)/'Skema1-7_2017'!C11))*100)</f>
        <v>-3.3170250386656344</v>
      </c>
      <c r="D11" s="88">
        <f>IF((ROUND('Skema1-7_2017'!D11,0))=0,"-",((('Skema1-7_2018'!D11-'Skema1-7_2017'!D11)/'Skema1-7_2017'!D11))*100)</f>
        <v>-7.1081694582551824</v>
      </c>
      <c r="E11" s="88">
        <f>IF((ROUND('Skema1-7_2017'!E11,0))=0,"-",((('Skema1-7_2018'!E11-'Skema1-7_2017'!E11)/'Skema1-7_2017'!E11))*100)</f>
        <v>1.822306195957325</v>
      </c>
      <c r="F11" s="88" t="str">
        <f>IF((ROUND('Skema1-7_2017'!F11,0))=0,"-",((('Skema1-7_2018'!F11-'Skema1-7_2017'!F11)/'Skema1-7_2017'!F11))*100)</f>
        <v>-</v>
      </c>
      <c r="G11" s="88">
        <f>IF((ROUND('Skema1-7_2017'!G11,0))=0,"-",((('Skema1-7_2018'!G11-'Skema1-7_2017'!G11)/'Skema1-7_2017'!G11))*100)</f>
        <v>46.804738695372919</v>
      </c>
      <c r="H11" s="88">
        <f>IF((ROUND('Skema1-7_2017'!H11,0))=0,"-",((('Skema1-7_2018'!H11-'Skema1-7_2017'!H11)/'Skema1-7_2017'!H11))*100)</f>
        <v>-19.10500787588936</v>
      </c>
      <c r="I11" s="88">
        <f>IF((ROUND('Skema1-7_2017'!I11,0))=0,"-",((('Skema1-7_2018'!I11-'Skema1-7_2017'!I11)/'Skema1-7_2017'!I11))*100)</f>
        <v>22.407090177137974</v>
      </c>
      <c r="J11" s="88">
        <f>IF((ROUND('Skema1-7_2017'!J11,0))=0,"-",((('Skema1-7_2018'!J11-'Skema1-7_2017'!J11)/'Skema1-7_2017'!J11))*100)</f>
        <v>-2.4480544092007808</v>
      </c>
      <c r="N11" s="39"/>
      <c r="O11" s="39"/>
      <c r="P11" s="39"/>
      <c r="Q11" s="39"/>
      <c r="R11" s="39"/>
    </row>
    <row r="12" spans="1:18" ht="13.5" customHeight="1" x14ac:dyDescent="0.25">
      <c r="A12" s="75">
        <f>+'(skema1-7_2017 - 17pl)'!A12</f>
        <v>3810</v>
      </c>
      <c r="B12" s="7" t="str">
        <f>+'(skema1-7_2017 - 17pl)'!B12</f>
        <v>Sjællands Universitetshospital</v>
      </c>
      <c r="C12" s="88">
        <f>IF((ROUND('Skema1-7_2017'!C12,0))=0,"-",((('Skema1-7_2018'!C12-'Skema1-7_2017'!C12)/'Skema1-7_2017'!C12))*100)</f>
        <v>-0.5868920469841421</v>
      </c>
      <c r="D12" s="88">
        <f>IF((ROUND('Skema1-7_2017'!D12,0))=0,"-",((('Skema1-7_2018'!D12-'Skema1-7_2017'!D12)/'Skema1-7_2017'!D12))*100)</f>
        <v>-14.206119264739318</v>
      </c>
      <c r="E12" s="88">
        <f>IF((ROUND('Skema1-7_2017'!E12,0))=0,"-",((('Skema1-7_2018'!E12-'Skema1-7_2017'!E12)/'Skema1-7_2017'!E12))*100)</f>
        <v>0.16462641807320771</v>
      </c>
      <c r="F12" s="88" t="str">
        <f>IF((ROUND('Skema1-7_2017'!F12,0))=0,"-",((('Skema1-7_2018'!F12-'Skema1-7_2017'!F12)/'Skema1-7_2017'!F12))*100)</f>
        <v>-</v>
      </c>
      <c r="G12" s="88">
        <f>IF((ROUND('Skema1-7_2017'!G12,0))=0,"-",((('Skema1-7_2018'!G12-'Skema1-7_2017'!G12)/'Skema1-7_2017'!G12))*100)</f>
        <v>5.1566037273673695</v>
      </c>
      <c r="H12" s="88">
        <f>IF((ROUND('Skema1-7_2017'!H12,0))=0,"-",((('Skema1-7_2018'!H12-'Skema1-7_2017'!H12)/'Skema1-7_2017'!H12))*100)</f>
        <v>-1.7530515503039135</v>
      </c>
      <c r="I12" s="88">
        <f>IF((ROUND('Skema1-7_2017'!I12,0))=0,"-",((('Skema1-7_2018'!I12-'Skema1-7_2017'!I12)/'Skema1-7_2017'!I12))*100)</f>
        <v>2.8901935264967831</v>
      </c>
      <c r="J12" s="88">
        <f>IF((ROUND('Skema1-7_2017'!J12,0))=0,"-",((('Skema1-7_2018'!J12-'Skema1-7_2017'!J12)/'Skema1-7_2017'!J12))*100)</f>
        <v>-1.5959401817452157</v>
      </c>
      <c r="N12" s="39"/>
      <c r="O12" s="39"/>
      <c r="P12" s="39"/>
      <c r="Q12" s="39"/>
      <c r="R12" s="39"/>
    </row>
    <row r="13" spans="1:18" ht="13.5" customHeight="1" x14ac:dyDescent="0.25">
      <c r="A13" s="75">
        <f>+'(skema1-7_2017 - 17pl)'!A13</f>
        <v>3820</v>
      </c>
      <c r="B13" s="7" t="str">
        <f>+'(skema1-7_2017 - 17pl)'!B13</f>
        <v>Holbæk Sygehus</v>
      </c>
      <c r="C13" s="88">
        <f>IF((ROUND('Skema1-7_2017'!C13,0))=0,"-",((('Skema1-7_2018'!C13-'Skema1-7_2017'!C13)/'Skema1-7_2017'!C13))*100)</f>
        <v>-2.0077834251750324</v>
      </c>
      <c r="D13" s="88">
        <f>IF((ROUND('Skema1-7_2017'!D13,0))=0,"-",((('Skema1-7_2018'!D13-'Skema1-7_2017'!D13)/'Skema1-7_2017'!D13))*100)</f>
        <v>-11.28341632318927</v>
      </c>
      <c r="E13" s="88">
        <f>IF((ROUND('Skema1-7_2017'!E13,0))=0,"-",((('Skema1-7_2018'!E13-'Skema1-7_2017'!E13)/'Skema1-7_2017'!E13))*100)</f>
        <v>2.0669407392481092</v>
      </c>
      <c r="F13" s="88" t="str">
        <f>IF((ROUND('Skema1-7_2017'!F13,0))=0,"-",((('Skema1-7_2018'!F13-'Skema1-7_2017'!F13)/'Skema1-7_2017'!F13))*100)</f>
        <v>-</v>
      </c>
      <c r="G13" s="88">
        <f>IF((ROUND('Skema1-7_2017'!G13,0))=0,"-",((('Skema1-7_2018'!G13-'Skema1-7_2017'!G13)/'Skema1-7_2017'!G13))*100)</f>
        <v>-40.52445858836203</v>
      </c>
      <c r="H13" s="88">
        <f>IF((ROUND('Skema1-7_2017'!H13,0))=0,"-",((('Skema1-7_2018'!H13-'Skema1-7_2017'!H13)/'Skema1-7_2017'!H13))*100)</f>
        <v>5.9204661784489829</v>
      </c>
      <c r="I13" s="88">
        <f>IF((ROUND('Skema1-7_2017'!I13,0))=0,"-",((('Skema1-7_2018'!I13-'Skema1-7_2017'!I13)/'Skema1-7_2017'!I13))*100)</f>
        <v>-42.831621809967153</v>
      </c>
      <c r="J13" s="82">
        <f>IF((ROUND('Skema1-7_2017'!J13,0))=0,"-",((('Skema1-7_2018'!J13-'Skema1-7_2017'!J13)/'Skema1-7_2017'!J13))*100)</f>
        <v>-3.5762416410290676</v>
      </c>
      <c r="N13" s="39"/>
      <c r="O13" s="39"/>
      <c r="P13" s="39"/>
      <c r="Q13" s="39"/>
      <c r="R13" s="39"/>
    </row>
    <row r="14" spans="1:18" ht="13.5" customHeight="1" x14ac:dyDescent="0.25">
      <c r="A14" s="75">
        <f>+'(skema1-7_2017 - 17pl)'!A14</f>
        <v>3830</v>
      </c>
      <c r="B14" s="7" t="str">
        <f>+'(skema1-7_2017 - 17pl)'!B14</f>
        <v>Næstved, Slagelse og Ringsted sygehuse</v>
      </c>
      <c r="C14" s="88">
        <f>IF((ROUND('Skema1-7_2017'!C14,0))=0,"-",((('Skema1-7_2018'!C14-'Skema1-7_2017'!C14)/'Skema1-7_2017'!C14))*100)</f>
        <v>1.0033800692845243</v>
      </c>
      <c r="D14" s="88">
        <f>IF((ROUND('Skema1-7_2017'!D14,0))=0,"-",((('Skema1-7_2018'!D14-'Skema1-7_2017'!D14)/'Skema1-7_2017'!D14))*100)</f>
        <v>-8.5411161706664842</v>
      </c>
      <c r="E14" s="88">
        <f>IF((ROUND('Skema1-7_2017'!E14,0))=0,"-",((('Skema1-7_2018'!E14-'Skema1-7_2017'!E14)/'Skema1-7_2017'!E14))*100)</f>
        <v>1.2158968585670016</v>
      </c>
      <c r="F14" s="88" t="str">
        <f>IF((ROUND('Skema1-7_2017'!F14,0))=0,"-",((('Skema1-7_2018'!F14-'Skema1-7_2017'!F14)/'Skema1-7_2017'!F14))*100)</f>
        <v>-</v>
      </c>
      <c r="G14" s="88">
        <f>IF((ROUND('Skema1-7_2017'!G14,0))=0,"-",((('Skema1-7_2018'!G14-'Skema1-7_2017'!G14)/'Skema1-7_2017'!G14))*100)</f>
        <v>59.29766120854476</v>
      </c>
      <c r="H14" s="88">
        <f>IF((ROUND('Skema1-7_2017'!H14,0))=0,"-",((('Skema1-7_2018'!H14-'Skema1-7_2017'!H14)/'Skema1-7_2017'!H14))*100)</f>
        <v>7.4378765057993386</v>
      </c>
      <c r="I14" s="88">
        <f>IF((ROUND('Skema1-7_2017'!I14,0))=0,"-",((('Skema1-7_2018'!I14-'Skema1-7_2017'!I14)/'Skema1-7_2017'!I14))*100)</f>
        <v>-14.595201690799135</v>
      </c>
      <c r="J14" s="82">
        <f>IF((ROUND('Skema1-7_2017'!J14,0))=0,"-",((('Skema1-7_2018'!J14-'Skema1-7_2017'!J14)/'Skema1-7_2017'!J14))*100)</f>
        <v>-0.54392408400957371</v>
      </c>
      <c r="N14" s="39"/>
      <c r="O14" s="39"/>
      <c r="P14" s="39"/>
      <c r="Q14" s="39"/>
      <c r="R14" s="39"/>
    </row>
    <row r="15" spans="1:18" ht="13.5" customHeight="1" x14ac:dyDescent="0.25">
      <c r="A15" s="75">
        <f>+'(skema1-7_2017 - 17pl)'!A15</f>
        <v>3840</v>
      </c>
      <c r="B15" s="7" t="str">
        <f>+'(skema1-7_2017 - 17pl)'!B15</f>
        <v>Nykøbing Sygehus</v>
      </c>
      <c r="C15" s="88">
        <f>IF((ROUND('Skema1-7_2017'!C15,0))=0,"-",((('Skema1-7_2018'!C15-'Skema1-7_2017'!C15)/'Skema1-7_2017'!C15))*100)</f>
        <v>-2.0725850815589855</v>
      </c>
      <c r="D15" s="88">
        <f>IF((ROUND('Skema1-7_2017'!D15,0))=0,"-",((('Skema1-7_2018'!D15-'Skema1-7_2017'!D15)/'Skema1-7_2017'!D15))*100)</f>
        <v>-15.566611446661749</v>
      </c>
      <c r="E15" s="88">
        <f>IF((ROUND('Skema1-7_2017'!E15,0))=0,"-",((('Skema1-7_2018'!E15-'Skema1-7_2017'!E15)/'Skema1-7_2017'!E15))*100)</f>
        <v>-2.7207003873195523</v>
      </c>
      <c r="F15" s="88" t="str">
        <f>IF((ROUND('Skema1-7_2017'!F15,0))=0,"-",((('Skema1-7_2018'!F15-'Skema1-7_2017'!F15)/'Skema1-7_2017'!F15))*100)</f>
        <v>-</v>
      </c>
      <c r="G15" s="88">
        <f>IF((ROUND('Skema1-7_2017'!G15,0))=0,"-",((('Skema1-7_2018'!G15-'Skema1-7_2017'!G15)/'Skema1-7_2017'!G15))*100)</f>
        <v>-3.6305082258352197</v>
      </c>
      <c r="H15" s="88">
        <f>IF((ROUND('Skema1-7_2017'!H15,0))=0,"-",((('Skema1-7_2018'!H15-'Skema1-7_2017'!H15)/'Skema1-7_2017'!H15))*100)</f>
        <v>-12.597258723064146</v>
      </c>
      <c r="I15" s="88">
        <f>IF((ROUND('Skema1-7_2017'!I15,0))=0,"-",((('Skema1-7_2018'!I15-'Skema1-7_2017'!I15)/'Skema1-7_2017'!I15))*100)</f>
        <v>-11.050699370712595</v>
      </c>
      <c r="J15" s="82">
        <f>IF((ROUND('Skema1-7_2017'!J15,0))=0,"-",((('Skema1-7_2018'!J15-'Skema1-7_2017'!J15)/'Skema1-7_2017'!J15))*100)</f>
        <v>-3.598635356881235</v>
      </c>
      <c r="N15" s="39"/>
      <c r="O15" s="39"/>
      <c r="P15" s="39"/>
      <c r="Q15" s="39"/>
      <c r="R15" s="39"/>
    </row>
    <row r="16" spans="1:18" ht="13.5" customHeight="1" x14ac:dyDescent="0.25">
      <c r="A16" s="75">
        <f>+'(skema1-7_2017 - 17pl)'!A16</f>
        <v>4202</v>
      </c>
      <c r="B16" s="7" t="str">
        <f>+'(skema1-7_2017 - 17pl)'!B16</f>
        <v>Odense Universitetshospital</v>
      </c>
      <c r="C16" s="88">
        <f>IF((ROUND('Skema1-7_2017'!C16,0))=0,"-",((('Skema1-7_2018'!C16-'Skema1-7_2017'!C16)/'Skema1-7_2017'!C16))*100)</f>
        <v>1.9437760060429183</v>
      </c>
      <c r="D16" s="88">
        <f>IF((ROUND('Skema1-7_2017'!D16,0))=0,"-",((('Skema1-7_2018'!D16-'Skema1-7_2017'!D16)/'Skema1-7_2017'!D16))*100)</f>
        <v>14.747840977070956</v>
      </c>
      <c r="E16" s="88">
        <f>IF((ROUND('Skema1-7_2017'!E16,0))=0,"-",((('Skema1-7_2018'!E16-'Skema1-7_2017'!E16)/'Skema1-7_2017'!E16))*100)</f>
        <v>2.3449764385963139</v>
      </c>
      <c r="F16" s="88">
        <f>IF((ROUND('Skema1-7_2017'!F16,0))=0,"-",((('Skema1-7_2018'!F16-'Skema1-7_2017'!F16)/'Skema1-7_2017'!F16))*100)</f>
        <v>1.9050731076937093</v>
      </c>
      <c r="G16" s="88">
        <f>IF((ROUND('Skema1-7_2017'!G16,0))=0,"-",((('Skema1-7_2018'!G16-'Skema1-7_2017'!G16)/'Skema1-7_2017'!G16))*100)</f>
        <v>-12.589335125055982</v>
      </c>
      <c r="H16" s="88">
        <f>IF((ROUND('Skema1-7_2017'!H16,0))=0,"-",((('Skema1-7_2018'!H16-'Skema1-7_2017'!H16)/'Skema1-7_2017'!H16))*100)</f>
        <v>18.58212612136516</v>
      </c>
      <c r="I16" s="88">
        <f>IF((ROUND('Skema1-7_2017'!I16,0))=0,"-",((('Skema1-7_2018'!I16-'Skema1-7_2017'!I16)/'Skema1-7_2017'!I16))*100)</f>
        <v>-70.900349691938047</v>
      </c>
      <c r="J16" s="82">
        <f>IF((ROUND('Skema1-7_2017'!J16,0))=0,"-",((('Skema1-7_2018'!J16-'Skema1-7_2017'!J16)/'Skema1-7_2017'!J16))*100)</f>
        <v>1.9226242844973978</v>
      </c>
      <c r="N16" s="39"/>
      <c r="O16" s="39"/>
      <c r="P16" s="39"/>
      <c r="Q16" s="39"/>
      <c r="R16" s="39"/>
    </row>
    <row r="17" spans="1:18" ht="13.5" customHeight="1" x14ac:dyDescent="0.25">
      <c r="A17" s="75">
        <f>+'(skema1-7_2017 - 17pl)'!A17</f>
        <v>5000</v>
      </c>
      <c r="B17" s="7" t="str">
        <f>+'(skema1-7_2017 - 17pl)'!B17</f>
        <v>Sygehus Sønderjylland</v>
      </c>
      <c r="C17" s="88">
        <f>IF((ROUND('Skema1-7_2017'!C17,0))=0,"-",((('Skema1-7_2018'!C17-'Skema1-7_2017'!C17)/'Skema1-7_2017'!C17))*100)</f>
        <v>1.5749700362845256</v>
      </c>
      <c r="D17" s="88">
        <f>IF((ROUND('Skema1-7_2017'!D17,0))=0,"-",((('Skema1-7_2018'!D17-'Skema1-7_2017'!D17)/'Skema1-7_2017'!D17))*100)</f>
        <v>13.709700951066605</v>
      </c>
      <c r="E17" s="88">
        <f>IF((ROUND('Skema1-7_2017'!E17,0))=0,"-",((('Skema1-7_2018'!E17-'Skema1-7_2017'!E17)/'Skema1-7_2017'!E17))*100)</f>
        <v>1.4191691613807345</v>
      </c>
      <c r="F17" s="88">
        <f>IF((ROUND('Skema1-7_2017'!F17,0))=0,"-",((('Skema1-7_2018'!F17-'Skema1-7_2017'!F17)/'Skema1-7_2017'!F17))*100)</f>
        <v>0.24258102708772755</v>
      </c>
      <c r="G17" s="88">
        <f>IF((ROUND('Skema1-7_2017'!G17,0))=0,"-",((('Skema1-7_2018'!G17-'Skema1-7_2017'!G17)/'Skema1-7_2017'!G17))*100)</f>
        <v>0.73211168353558764</v>
      </c>
      <c r="H17" s="88">
        <f>IF((ROUND('Skema1-7_2017'!H17,0))=0,"-",((('Skema1-7_2018'!H17-'Skema1-7_2017'!H17)/'Skema1-7_2017'!H17))*100)</f>
        <v>-6.0652368148795706</v>
      </c>
      <c r="I17" s="88">
        <f>IF((ROUND('Skema1-7_2017'!I17,0))=0,"-",((('Skema1-7_2018'!I17-'Skema1-7_2017'!I17)/'Skema1-7_2017'!I17))*100)</f>
        <v>-0.39464491399007379</v>
      </c>
      <c r="J17" s="88">
        <f>IF((ROUND('Skema1-7_2017'!J17,0))=0,"-",((('Skema1-7_2018'!J17-'Skema1-7_2017'!J17)/'Skema1-7_2017'!J17))*100)</f>
        <v>2.383662536996868</v>
      </c>
      <c r="N17" s="39"/>
      <c r="O17" s="46"/>
      <c r="P17" s="44"/>
      <c r="Q17" s="39"/>
      <c r="R17" s="39"/>
    </row>
    <row r="18" spans="1:18" ht="13.5" customHeight="1" x14ac:dyDescent="0.25">
      <c r="A18" s="75">
        <f>+'(skema1-7_2017 - 17pl)'!A18</f>
        <v>5501</v>
      </c>
      <c r="B18" s="7" t="str">
        <f>+'(skema1-7_2017 - 17pl)'!B18</f>
        <v>Sydvestjysk Sygehus</v>
      </c>
      <c r="C18" s="88">
        <f>IF((ROUND('Skema1-7_2017'!C18,0))=0,"-",((('Skema1-7_2018'!C18-'Skema1-7_2017'!C18)/'Skema1-7_2017'!C18))*100)</f>
        <v>0.37139549015889212</v>
      </c>
      <c r="D18" s="88">
        <f>IF((ROUND('Skema1-7_2017'!D18,0))=0,"-",((('Skema1-7_2018'!D18-'Skema1-7_2017'!D18)/'Skema1-7_2017'!D18))*100)</f>
        <v>12.491179719811823</v>
      </c>
      <c r="E18" s="88">
        <f>IF((ROUND('Skema1-7_2017'!E18,0))=0,"-",((('Skema1-7_2018'!E18-'Skema1-7_2017'!E18)/'Skema1-7_2017'!E18))*100)</f>
        <v>0.33654439721199236</v>
      </c>
      <c r="F18" s="88">
        <f>IF((ROUND('Skema1-7_2017'!F18,0))=0,"-",((('Skema1-7_2018'!F18-'Skema1-7_2017'!F18)/'Skema1-7_2017'!F18))*100)</f>
        <v>0.10489663858321065</v>
      </c>
      <c r="G18" s="88">
        <f>IF((ROUND('Skema1-7_2017'!G18,0))=0,"-",((('Skema1-7_2018'!G18-'Skema1-7_2017'!G18)/'Skema1-7_2017'!G18))*100)</f>
        <v>-44.199516957571682</v>
      </c>
      <c r="H18" s="88">
        <f>IF((ROUND('Skema1-7_2017'!H18,0))=0,"-",((('Skema1-7_2018'!H18-'Skema1-7_2017'!H18)/'Skema1-7_2017'!H18))*100)</f>
        <v>5.0633114748695514</v>
      </c>
      <c r="I18" s="88">
        <f>IF((ROUND('Skema1-7_2017'!I18,0))=0,"-",((('Skema1-7_2018'!I18-'Skema1-7_2017'!I18)/'Skema1-7_2017'!I18))*100)</f>
        <v>0.74654583271430885</v>
      </c>
      <c r="J18" s="88">
        <f>IF((ROUND('Skema1-7_2017'!J18,0))=0,"-",((('Skema1-7_2018'!J18-'Skema1-7_2017'!J18)/'Skema1-7_2017'!J18))*100)</f>
        <v>0.55751829951960541</v>
      </c>
      <c r="N18" s="39"/>
      <c r="O18" s="46"/>
      <c r="P18" s="44"/>
      <c r="Q18" s="39"/>
      <c r="R18" s="39"/>
    </row>
    <row r="19" spans="1:18" ht="13.5" customHeight="1" x14ac:dyDescent="0.25">
      <c r="A19" s="75">
        <f>+'(skema1-7_2017 - 17pl)'!A19</f>
        <v>6007</v>
      </c>
      <c r="B19" s="7" t="str">
        <f>+'(skema1-7_2017 - 17pl)'!B19</f>
        <v>Fredericia og Kolding sygehuse</v>
      </c>
      <c r="C19" s="88">
        <f>IF((ROUND('Skema1-7_2017'!C19,0))=0,"-",((('Skema1-7_2018'!C19-'Skema1-7_2017'!C19)/'Skema1-7_2017'!C19))*100)</f>
        <v>2.3494189006154285</v>
      </c>
      <c r="D19" s="88">
        <f>IF((ROUND('Skema1-7_2017'!D19,0))=0,"-",((('Skema1-7_2018'!D19-'Skema1-7_2017'!D19)/'Skema1-7_2017'!D19))*100)</f>
        <v>14.382295303298228</v>
      </c>
      <c r="E19" s="88">
        <f>IF((ROUND('Skema1-7_2017'!E19,0))=0,"-",((('Skema1-7_2018'!E19-'Skema1-7_2017'!E19)/'Skema1-7_2017'!E19))*100)</f>
        <v>2.0189464036120008</v>
      </c>
      <c r="F19" s="88">
        <f>IF((ROUND('Skema1-7_2017'!F19,0))=0,"-",((('Skema1-7_2018'!F19-'Skema1-7_2017'!F19)/'Skema1-7_2017'!F19))*100)</f>
        <v>-100</v>
      </c>
      <c r="G19" s="88">
        <f>IF((ROUND('Skema1-7_2017'!G19,0))=0,"-",((('Skema1-7_2018'!G19-'Skema1-7_2017'!G19)/'Skema1-7_2017'!G19))*100)</f>
        <v>-28.034984968344524</v>
      </c>
      <c r="H19" s="88">
        <f>IF((ROUND('Skema1-7_2017'!H19,0))=0,"-",((('Skema1-7_2018'!H19-'Skema1-7_2017'!H19)/'Skema1-7_2017'!H19))*100)</f>
        <v>-1.9419293854459247</v>
      </c>
      <c r="I19" s="88">
        <f>IF((ROUND('Skema1-7_2017'!I19,0))=0,"-",((('Skema1-7_2018'!I19-'Skema1-7_2017'!I19)/'Skema1-7_2017'!I19))*100)</f>
        <v>-1.5748031496062964</v>
      </c>
      <c r="J19" s="88">
        <f>IF((ROUND('Skema1-7_2017'!J19,0))=0,"-",((('Skema1-7_2018'!J19-'Skema1-7_2017'!J19)/'Skema1-7_2017'!J19))*100)</f>
        <v>2.8301040303161873</v>
      </c>
      <c r="N19" s="39"/>
      <c r="O19" s="46"/>
      <c r="P19" s="44"/>
      <c r="Q19" s="39"/>
      <c r="R19" s="39"/>
    </row>
    <row r="20" spans="1:18" ht="13.5" customHeight="1" x14ac:dyDescent="0.25">
      <c r="A20" s="75">
        <f>+'(skema1-7_2017 - 17pl)'!A20</f>
        <v>6008</v>
      </c>
      <c r="B20" s="7" t="str">
        <f>+'(skema1-7_2017 - 17pl)'!B20</f>
        <v>Vejle-Give-Middelfart sygehuse</v>
      </c>
      <c r="C20" s="88">
        <f>IF((ROUND('Skema1-7_2017'!C20,0))=0,"-",((('Skema1-7_2018'!C20-'Skema1-7_2017'!C20)/'Skema1-7_2017'!C20))*100)</f>
        <v>2.3626086180716261</v>
      </c>
      <c r="D20" s="88">
        <f>IF((ROUND('Skema1-7_2017'!D20,0))=0,"-",((('Skema1-7_2018'!D20-'Skema1-7_2017'!D20)/'Skema1-7_2017'!D20))*100)</f>
        <v>14.380469657943021</v>
      </c>
      <c r="E20" s="88">
        <f>IF((ROUND('Skema1-7_2017'!E20,0))=0,"-",((('Skema1-7_2018'!E20-'Skema1-7_2017'!E20)/'Skema1-7_2017'!E20))*100)</f>
        <v>2.0195695515371392</v>
      </c>
      <c r="F20" s="88">
        <f>IF((ROUND('Skema1-7_2017'!F20,0))=0,"-",((('Skema1-7_2018'!F20-'Skema1-7_2017'!F20)/'Skema1-7_2017'!F20))*100)</f>
        <v>-12.321510444895848</v>
      </c>
      <c r="G20" s="88">
        <f>IF((ROUND('Skema1-7_2017'!G20,0))=0,"-",((('Skema1-7_2018'!G20-'Skema1-7_2017'!G20)/'Skema1-7_2017'!G20))*100)</f>
        <v>-0.29391234472431721</v>
      </c>
      <c r="H20" s="88">
        <f>IF((ROUND('Skema1-7_2017'!H20,0))=0,"-",((('Skema1-7_2018'!H20-'Skema1-7_2017'!H20)/'Skema1-7_2017'!H20))*100)</f>
        <v>1.0182483367536319</v>
      </c>
      <c r="I20" s="88">
        <f>IF((ROUND('Skema1-7_2017'!I20,0))=0,"-",((('Skema1-7_2018'!I20-'Skema1-7_2017'!I20)/'Skema1-7_2017'!I20))*100)</f>
        <v>-120.63455786965864</v>
      </c>
      <c r="J20" s="88">
        <f>IF((ROUND('Skema1-7_2017'!J20,0))=0,"-",((('Skema1-7_2018'!J20-'Skema1-7_2017'!J20)/'Skema1-7_2017'!J20))*100)</f>
        <v>2.4338042168387917</v>
      </c>
      <c r="N20" s="39"/>
      <c r="O20" s="39"/>
      <c r="P20" s="39"/>
      <c r="Q20" s="39"/>
      <c r="R20" s="39"/>
    </row>
    <row r="21" spans="1:18" ht="13.5" customHeight="1" x14ac:dyDescent="0.25">
      <c r="A21" s="75">
        <f>+'(skema1-7_2017 - 17pl)'!A21</f>
        <v>6013</v>
      </c>
      <c r="B21" s="7" t="str">
        <f>+'(skema1-7_2017 - 17pl)'!B21</f>
        <v>De Vestdanske Friklinikker, Give</v>
      </c>
      <c r="C21" s="88">
        <f>IF((ROUND('Skema1-7_2017'!C21,0))=0,"-",((('Skema1-7_2018'!C21-'Skema1-7_2017'!C21)/'Skema1-7_2017'!C21))*100)</f>
        <v>-15.087401511512285</v>
      </c>
      <c r="D21" s="88">
        <f>IF((ROUND('Skema1-7_2017'!D21,0))=0,"-",((('Skema1-7_2018'!D21-'Skema1-7_2017'!D21)/'Skema1-7_2017'!D21))*100)</f>
        <v>-0.96498160778229358</v>
      </c>
      <c r="E21" s="88">
        <f>IF((ROUND('Skema1-7_2017'!E21,0))=0,"-",((('Skema1-7_2018'!E21-'Skema1-7_2017'!E21)/'Skema1-7_2017'!E21))*100)</f>
        <v>-11.595705387572826</v>
      </c>
      <c r="F21" s="88" t="str">
        <f>IF((ROUND('Skema1-7_2017'!F21,0))=0,"-",((('Skema1-7_2018'!F21-'Skema1-7_2017'!F21)/'Skema1-7_2017'!F21))*100)</f>
        <v>-</v>
      </c>
      <c r="G21" s="88" t="str">
        <f>IF((ROUND('Skema1-7_2017'!G21,0))=0,"-",((('Skema1-7_2018'!G21-'Skema1-7_2017'!G21)/'Skema1-7_2017'!G21))*100)</f>
        <v>-</v>
      </c>
      <c r="H21" s="88" t="str">
        <f>IF((ROUND('Skema1-7_2017'!H21,0))=0,"-",((('Skema1-7_2018'!H21-'Skema1-7_2017'!H21)/'Skema1-7_2017'!H21))*100)</f>
        <v>-</v>
      </c>
      <c r="I21" s="88" t="str">
        <f>IF((ROUND('Skema1-7_2017'!I21,0))=0,"-",((('Skema1-7_2018'!I21-'Skema1-7_2017'!I21)/'Skema1-7_2017'!I21))*100)</f>
        <v>-</v>
      </c>
      <c r="J21" s="88">
        <f>IF((ROUND('Skema1-7_2017'!J21,0))=0,"-",((('Skema1-7_2018'!J21-'Skema1-7_2017'!J21)/'Skema1-7_2017'!J21))*100)</f>
        <v>-14.57132281529552</v>
      </c>
      <c r="N21" s="39"/>
      <c r="O21" s="39"/>
      <c r="P21" s="39"/>
      <c r="Q21" s="39"/>
      <c r="R21" s="39"/>
    </row>
    <row r="22" spans="1:18" ht="13.5" customHeight="1" x14ac:dyDescent="0.25">
      <c r="A22" s="75">
        <f>+'(skema1-7_2017 - 17pl)'!A22</f>
        <v>6006</v>
      </c>
      <c r="B22" s="7" t="str">
        <f>+'(skema1-7_2017 - 17pl)'!B22</f>
        <v>Hospitalenheden Horsens</v>
      </c>
      <c r="C22" s="88">
        <f>IF((ROUND('Skema1-7_2017'!C22,0))=0,"-",((('Skema1-7_2018'!C22-'Skema1-7_2017'!C22)/'Skema1-7_2017'!C22))*100)</f>
        <v>0.29288533502341435</v>
      </c>
      <c r="D22" s="88">
        <f>IF((ROUND('Skema1-7_2017'!D22,0))=0,"-",((('Skema1-7_2018'!D22-'Skema1-7_2017'!D22)/'Skema1-7_2017'!D22))*100)</f>
        <v>-23.123002663027172</v>
      </c>
      <c r="E22" s="88">
        <f>IF((ROUND('Skema1-7_2017'!E22,0))=0,"-",((('Skema1-7_2018'!E22-'Skema1-7_2017'!E22)/'Skema1-7_2017'!E22))*100)</f>
        <v>1.326376233538499</v>
      </c>
      <c r="F22" s="88" t="str">
        <f>IF((ROUND('Skema1-7_2017'!F22,0))=0,"-",((('Skema1-7_2018'!F22-'Skema1-7_2017'!F22)/'Skema1-7_2017'!F22))*100)</f>
        <v>-</v>
      </c>
      <c r="G22" s="88">
        <f>IF((ROUND('Skema1-7_2017'!G22,0))=0,"-",((('Skema1-7_2018'!G22-'Skema1-7_2017'!G22)/'Skema1-7_2017'!G22))*100)</f>
        <v>123.04551962348209</v>
      </c>
      <c r="H22" s="88">
        <f>IF((ROUND('Skema1-7_2017'!H22,0))=0,"-",((('Skema1-7_2018'!H22-'Skema1-7_2017'!H22)/'Skema1-7_2017'!H22))*100)</f>
        <v>7.6966743948484924</v>
      </c>
      <c r="I22" s="88">
        <f>IF((ROUND('Skema1-7_2017'!I22,0))=0,"-",((('Skema1-7_2018'!I22-'Skema1-7_2017'!I22)/'Skema1-7_2017'!I22))*100)</f>
        <v>82.163468638377154</v>
      </c>
      <c r="J22" s="88">
        <f>IF((ROUND('Skema1-7_2017'!J22,0))=0,"-",((('Skema1-7_2018'!J22-'Skema1-7_2017'!J22)/'Skema1-7_2017'!J22))*100)</f>
        <v>4.1352327015054535E-2</v>
      </c>
      <c r="N22" s="39"/>
      <c r="O22" s="39"/>
      <c r="P22" s="39"/>
      <c r="Q22" s="39"/>
      <c r="R22" s="39"/>
    </row>
    <row r="23" spans="1:18" ht="13.5" customHeight="1" x14ac:dyDescent="0.25">
      <c r="A23" s="75">
        <f>+'(skema1-7_2017 - 17pl)'!A23</f>
        <v>6650</v>
      </c>
      <c r="B23" s="7" t="str">
        <f>+'(skema1-7_2017 - 17pl)'!B23</f>
        <v>Hospitalsenheden Vest</v>
      </c>
      <c r="C23" s="88">
        <f>IF((ROUND('Skema1-7_2017'!C23,0))=0,"-",((('Skema1-7_2018'!C23-'Skema1-7_2017'!C23)/'Skema1-7_2017'!C23))*100)</f>
        <v>1.6590677558164675</v>
      </c>
      <c r="D23" s="88">
        <f>IF((ROUND('Skema1-7_2017'!D23,0))=0,"-",((('Skema1-7_2018'!D23-'Skema1-7_2017'!D23)/'Skema1-7_2017'!D23))*100)</f>
        <v>-22.322334303278126</v>
      </c>
      <c r="E23" s="88">
        <f>IF((ROUND('Skema1-7_2017'!E23,0))=0,"-",((('Skema1-7_2018'!E23-'Skema1-7_2017'!E23)/'Skema1-7_2017'!E23))*100)</f>
        <v>2.3830228893744851</v>
      </c>
      <c r="F23" s="88" t="str">
        <f>IF((ROUND('Skema1-7_2017'!F23,0))=0,"-",((('Skema1-7_2018'!F23-'Skema1-7_2017'!F23)/'Skema1-7_2017'!F23))*100)</f>
        <v>-</v>
      </c>
      <c r="G23" s="88">
        <f>IF((ROUND('Skema1-7_2017'!G23,0))=0,"-",((('Skema1-7_2018'!G23-'Skema1-7_2017'!G23)/'Skema1-7_2017'!G23))*100)</f>
        <v>-27.231138733949333</v>
      </c>
      <c r="H23" s="88">
        <f>IF((ROUND('Skema1-7_2017'!H23,0))=0,"-",((('Skema1-7_2018'!H23-'Skema1-7_2017'!H23)/'Skema1-7_2017'!H23))*100)</f>
        <v>1.8805192703333382</v>
      </c>
      <c r="I23" s="88">
        <f>IF((ROUND('Skema1-7_2017'!I23,0))=0,"-",((('Skema1-7_2018'!I23-'Skema1-7_2017'!I23)/'Skema1-7_2017'!I23))*100)</f>
        <v>25.706537720129369</v>
      </c>
      <c r="J23" s="88">
        <f>IF((ROUND('Skema1-7_2017'!J23,0))=0,"-",((('Skema1-7_2018'!J23-'Skema1-7_2017'!J23)/'Skema1-7_2017'!J23))*100)</f>
        <v>1.0934828343616583</v>
      </c>
      <c r="N23" s="39"/>
      <c r="O23" s="39"/>
      <c r="P23" s="39"/>
      <c r="Q23" s="39"/>
      <c r="R23" s="39"/>
    </row>
    <row r="24" spans="1:18" ht="13.5" customHeight="1" x14ac:dyDescent="0.25">
      <c r="A24" s="75">
        <f>+'(skema1-7_2017 - 17pl)'!A24</f>
        <v>6620</v>
      </c>
      <c r="B24" s="7" t="str">
        <f>+'(skema1-7_2017 - 17pl)'!B24</f>
        <v>Aarhus Universitetshospital</v>
      </c>
      <c r="C24" s="88">
        <f>IF((ROUND('Skema1-7_2017'!C24,0))=0,"-",((('Skema1-7_2018'!C24-'Skema1-7_2017'!C24)/'Skema1-7_2017'!C24))*100)</f>
        <v>4.1453386177184248E-2</v>
      </c>
      <c r="D24" s="88">
        <f>IF((ROUND('Skema1-7_2017'!D24,0))=0,"-",((('Skema1-7_2018'!D24-'Skema1-7_2017'!D24)/'Skema1-7_2017'!D24))*100)</f>
        <v>-19.127971572395634</v>
      </c>
      <c r="E24" s="88">
        <f>IF((ROUND('Skema1-7_2017'!E24,0))=0,"-",((('Skema1-7_2018'!E24-'Skema1-7_2017'!E24)/'Skema1-7_2017'!E24))*100)</f>
        <v>1.3442767672770766</v>
      </c>
      <c r="F24" s="88" t="str">
        <f>IF((ROUND('Skema1-7_2017'!F24,0))=0,"-",((('Skema1-7_2018'!F24-'Skema1-7_2017'!F24)/'Skema1-7_2017'!F24))*100)</f>
        <v>-</v>
      </c>
      <c r="G24" s="88">
        <f>IF((ROUND('Skema1-7_2017'!G24,0))=0,"-",((('Skema1-7_2018'!G24-'Skema1-7_2017'!G24)/'Skema1-7_2017'!G24))*100)</f>
        <v>22.772539982101623</v>
      </c>
      <c r="H24" s="88">
        <f>IF((ROUND('Skema1-7_2017'!H24,0))=0,"-",((('Skema1-7_2018'!H24-'Skema1-7_2017'!H24)/'Skema1-7_2017'!H24))*100)</f>
        <v>-10.980523286722942</v>
      </c>
      <c r="I24" s="88">
        <f>IF((ROUND('Skema1-7_2017'!I24,0))=0,"-",((('Skema1-7_2018'!I24-'Skema1-7_2017'!I24)/'Skema1-7_2017'!I24))*100)</f>
        <v>9.4447708908474226</v>
      </c>
      <c r="J24" s="88">
        <f>IF((ROUND('Skema1-7_2017'!J24,0))=0,"-",((('Skema1-7_2018'!J24-'Skema1-7_2017'!J24)/'Skema1-7_2017'!J24))*100)</f>
        <v>-1.6473267304754877</v>
      </c>
      <c r="N24" s="39"/>
      <c r="O24" s="39"/>
      <c r="P24" s="39"/>
      <c r="Q24" s="39"/>
      <c r="R24" s="39"/>
    </row>
    <row r="25" spans="1:18" ht="13.5" customHeight="1" x14ac:dyDescent="0.25">
      <c r="A25" s="75">
        <f>+'(skema1-7_2017 - 17pl)'!A25</f>
        <v>7005</v>
      </c>
      <c r="B25" s="7" t="str">
        <f>+'(skema1-7_2017 - 17pl)'!B25</f>
        <v>Regionshospitalet Randers</v>
      </c>
      <c r="C25" s="88">
        <f>IF((ROUND('Skema1-7_2017'!C25,0))=0,"-",((('Skema1-7_2018'!C25-'Skema1-7_2017'!C25)/'Skema1-7_2017'!C25))*100)</f>
        <v>-0.22956167405983136</v>
      </c>
      <c r="D25" s="88">
        <f>IF((ROUND('Skema1-7_2017'!D25,0))=0,"-",((('Skema1-7_2018'!D25-'Skema1-7_2017'!D25)/'Skema1-7_2017'!D25))*100)</f>
        <v>-23.532175209616309</v>
      </c>
      <c r="E25" s="88">
        <f>IF((ROUND('Skema1-7_2017'!E25,0))=0,"-",((('Skema1-7_2018'!E25-'Skema1-7_2017'!E25)/'Skema1-7_2017'!E25))*100)</f>
        <v>0.78695095051147701</v>
      </c>
      <c r="F25" s="88" t="str">
        <f>IF((ROUND('Skema1-7_2017'!F25,0))=0,"-",((('Skema1-7_2018'!F25-'Skema1-7_2017'!F25)/'Skema1-7_2017'!F25))*100)</f>
        <v>-</v>
      </c>
      <c r="G25" s="88">
        <f>IF((ROUND('Skema1-7_2017'!G25,0))=0,"-",((('Skema1-7_2018'!G25-'Skema1-7_2017'!G25)/'Skema1-7_2017'!G25))*100)</f>
        <v>-84.463547454650794</v>
      </c>
      <c r="H25" s="88">
        <f>IF((ROUND('Skema1-7_2017'!H25,0))=0,"-",((('Skema1-7_2018'!H25-'Skema1-7_2017'!H25)/'Skema1-7_2017'!H25))*100)</f>
        <v>25.113811749157527</v>
      </c>
      <c r="I25" s="88">
        <f>IF((ROUND('Skema1-7_2017'!I25,0))=0,"-",((('Skema1-7_2018'!I25-'Skema1-7_2017'!I25)/'Skema1-7_2017'!I25))*100)</f>
        <v>-18.314706692039746</v>
      </c>
      <c r="J25" s="88">
        <f>IF((ROUND('Skema1-7_2017'!J25,0))=0,"-",((('Skema1-7_2018'!J25-'Skema1-7_2017'!J25)/'Skema1-7_2017'!J25))*100)</f>
        <v>-1.9330179374580088</v>
      </c>
      <c r="N25" s="39"/>
      <c r="O25" s="39"/>
      <c r="P25" s="39"/>
      <c r="Q25" s="39"/>
      <c r="R25" s="39"/>
    </row>
    <row r="26" spans="1:18" ht="13.5" customHeight="1" x14ac:dyDescent="0.25">
      <c r="A26" s="75">
        <f>+'(skema1-7_2017 - 17pl)'!A26</f>
        <v>6630</v>
      </c>
      <c r="B26" s="7" t="str">
        <f>+'(skema1-7_2017 - 17pl)'!B26</f>
        <v>Hospitalsenhed Midt</v>
      </c>
      <c r="C26" s="88">
        <f>IF((ROUND('Skema1-7_2017'!C26,0))=0,"-",((('Skema1-7_2018'!C26-'Skema1-7_2017'!C26)/'Skema1-7_2017'!C26))*100)</f>
        <v>-1.5674559916352928</v>
      </c>
      <c r="D26" s="88">
        <f>IF((ROUND('Skema1-7_2017'!D26,0))=0,"-",((('Skema1-7_2018'!D26-'Skema1-7_2017'!D26)/'Skema1-7_2017'!D26))*100)</f>
        <v>-24.709209624142055</v>
      </c>
      <c r="E26" s="88">
        <f>IF((ROUND('Skema1-7_2017'!E26,0))=0,"-",((('Skema1-7_2018'!E26-'Skema1-7_2017'!E26)/'Skema1-7_2017'!E26))*100)</f>
        <v>-0.76117794744479084</v>
      </c>
      <c r="F26" s="88" t="str">
        <f>IF((ROUND('Skema1-7_2017'!F26,0))=0,"-",((('Skema1-7_2018'!F26-'Skema1-7_2017'!F26)/'Skema1-7_2017'!F26))*100)</f>
        <v>-</v>
      </c>
      <c r="G26" s="88">
        <f>IF((ROUND('Skema1-7_2017'!G26,0))=0,"-",((('Skema1-7_2018'!G26-'Skema1-7_2017'!G26)/'Skema1-7_2017'!G26))*100)</f>
        <v>-21.669679134643282</v>
      </c>
      <c r="H26" s="88">
        <f>IF((ROUND('Skema1-7_2017'!H26,0))=0,"-",((('Skema1-7_2018'!H26-'Skema1-7_2017'!H26)/'Skema1-7_2017'!H26))*100)</f>
        <v>-12.518250937815569</v>
      </c>
      <c r="I26" s="88">
        <f>IF((ROUND('Skema1-7_2017'!I26,0))=0,"-",((('Skema1-7_2018'!I26-'Skema1-7_2017'!I26)/'Skema1-7_2017'!I26))*100)</f>
        <v>-58.756052408062722</v>
      </c>
      <c r="J26" s="88">
        <f>IF((ROUND('Skema1-7_2017'!J26,0))=0,"-",((('Skema1-7_2018'!J26-'Skema1-7_2017'!J26)/'Skema1-7_2017'!J26))*100)</f>
        <v>-3.153722220256324</v>
      </c>
      <c r="N26" s="39"/>
      <c r="O26" s="46"/>
      <c r="P26" s="46"/>
      <c r="Q26" s="39"/>
      <c r="R26" s="39"/>
    </row>
    <row r="27" spans="1:18" ht="13.5" customHeight="1" x14ac:dyDescent="0.25">
      <c r="A27" s="75">
        <f>+'(skema1-7_2017 - 17pl)'!A27</f>
        <v>8001</v>
      </c>
      <c r="B27" s="7" t="str">
        <f>+'(skema1-7_2017 - 17pl)'!B27</f>
        <v>Aalborg Universitetshospital</v>
      </c>
      <c r="C27" s="88">
        <f>IF((ROUND('Skema1-7_2017'!C27,0))=0,"-",((('Skema1-7_2018'!C27-'Skema1-7_2017'!C27)/'Skema1-7_2017'!C27))*100)</f>
        <v>8.2919465535930925</v>
      </c>
      <c r="D27" s="88">
        <f>IF((ROUND('Skema1-7_2017'!D27,0))=0,"-",((('Skema1-7_2018'!D27-'Skema1-7_2017'!D27)/'Skema1-7_2017'!D27))*100)</f>
        <v>-17.163993421334169</v>
      </c>
      <c r="E27" s="88">
        <f>IF((ROUND('Skema1-7_2017'!E27,0))=0,"-",((('Skema1-7_2018'!E27-'Skema1-7_2017'!E27)/'Skema1-7_2017'!E27))*100)</f>
        <v>0.68077623608379545</v>
      </c>
      <c r="F27" s="88" t="str">
        <f>IF((ROUND('Skema1-7_2017'!F27,0))=0,"-",((('Skema1-7_2018'!F27-'Skema1-7_2017'!F27)/'Skema1-7_2017'!F27))*100)</f>
        <v>-</v>
      </c>
      <c r="G27" s="88">
        <f>IF((ROUND('Skema1-7_2017'!G27,0))=0,"-",((('Skema1-7_2018'!G27-'Skema1-7_2017'!G27)/'Skema1-7_2017'!G27))*100)</f>
        <v>-65.991888067641298</v>
      </c>
      <c r="H27" s="88">
        <f>IF((ROUND('Skema1-7_2017'!H27,0))=0,"-",((('Skema1-7_2018'!H27-'Skema1-7_2017'!H27)/'Skema1-7_2017'!H27))*100)</f>
        <v>-0.63219166413324368</v>
      </c>
      <c r="I27" s="88">
        <f>IF((ROUND('Skema1-7_2017'!I27,0))=0,"-",((('Skema1-7_2018'!I27-'Skema1-7_2017'!I27)/'Skema1-7_2017'!I27))*100)</f>
        <v>-12.32832553618729</v>
      </c>
      <c r="J27" s="88">
        <f>IF((ROUND('Skema1-7_2017'!J27,0))=0,"-",((('Skema1-7_2018'!J27-'Skema1-7_2017'!J27)/'Skema1-7_2017'!J27))*100)</f>
        <v>9.1585476903672873</v>
      </c>
      <c r="N27" s="39"/>
      <c r="O27" s="39"/>
      <c r="P27" s="39"/>
      <c r="Q27" s="39"/>
      <c r="R27" s="39"/>
    </row>
    <row r="28" spans="1:18" ht="13.5" customHeight="1" x14ac:dyDescent="0.25">
      <c r="A28" s="75">
        <f>+'(skema1-7_2017 - 17pl)'!A28</f>
        <v>8003</v>
      </c>
      <c r="B28" s="7" t="str">
        <f>+'(skema1-7_2017 - 17pl)'!B28</f>
        <v>Regionshospitalet Nordjylland</v>
      </c>
      <c r="C28" s="88">
        <f>IF((ROUND('Skema1-7_2017'!C28,0))=0,"-",((('Skema1-7_2018'!C28-'Skema1-7_2017'!C28)/'Skema1-7_2017'!C28))*100)</f>
        <v>-26.754639200355911</v>
      </c>
      <c r="D28" s="88">
        <f>IF((ROUND('Skema1-7_2017'!D28,0))=0,"-",((('Skema1-7_2018'!D28-'Skema1-7_2017'!D28)/'Skema1-7_2017'!D28))*100)</f>
        <v>-25.34737189505914</v>
      </c>
      <c r="E28" s="88">
        <f>IF((ROUND('Skema1-7_2017'!E28,0))=0,"-",((('Skema1-7_2018'!E28-'Skema1-7_2017'!E28)/'Skema1-7_2017'!E28))*100)</f>
        <v>0.68060285060996839</v>
      </c>
      <c r="F28" s="88" t="str">
        <f>IF((ROUND('Skema1-7_2017'!F28,0))=0,"-",((('Skema1-7_2018'!F28-'Skema1-7_2017'!F28)/'Skema1-7_2017'!F28))*100)</f>
        <v>-</v>
      </c>
      <c r="G28" s="88">
        <f>IF((ROUND('Skema1-7_2017'!G28,0))=0,"-",((('Skema1-7_2018'!G28-'Skema1-7_2017'!G28)/'Skema1-7_2017'!G28))*100)</f>
        <v>-81.88846523076127</v>
      </c>
      <c r="H28" s="88">
        <f>IF((ROUND('Skema1-7_2017'!H28,0))=0,"-",((('Skema1-7_2018'!H28-'Skema1-7_2017'!H28)/'Skema1-7_2017'!H28))*100)</f>
        <v>-23.898110482731809</v>
      </c>
      <c r="I28" s="88">
        <f>IF((ROUND('Skema1-7_2017'!I28,0))=0,"-",((('Skema1-7_2018'!I28-'Skema1-7_2017'!I28)/'Skema1-7_2017'!I28))*100)</f>
        <v>-14.644997795251003</v>
      </c>
      <c r="J28" s="88">
        <f>IF((ROUND('Skema1-7_2017'!J28,0))=0,"-",((('Skema1-7_2018'!J28-'Skema1-7_2017'!J28)/'Skema1-7_2017'!J28))*100)</f>
        <v>-26.029407987069664</v>
      </c>
      <c r="N28" s="39"/>
      <c r="O28" s="39"/>
      <c r="P28" s="39"/>
      <c r="Q28" s="39"/>
      <c r="R28" s="39"/>
    </row>
    <row r="29" spans="1:18" ht="13.5" customHeight="1" x14ac:dyDescent="0.25">
      <c r="A29" s="13"/>
      <c r="B29" s="13" t="s">
        <v>14</v>
      </c>
      <c r="C29" s="83"/>
      <c r="D29" s="83"/>
      <c r="E29" s="83"/>
      <c r="F29" s="83"/>
      <c r="G29" s="83"/>
      <c r="H29" s="83"/>
      <c r="I29" s="83"/>
      <c r="J29" s="151"/>
      <c r="K29" s="35"/>
      <c r="L29" s="39"/>
      <c r="N29" s="39"/>
      <c r="O29" s="39"/>
      <c r="P29" s="39"/>
      <c r="Q29" s="39"/>
      <c r="R29" s="39"/>
    </row>
    <row r="30" spans="1:18" ht="13.5" customHeight="1" x14ac:dyDescent="0.25">
      <c r="A30" s="37"/>
      <c r="B30" s="15"/>
      <c r="C30" s="3"/>
      <c r="D30" s="3"/>
      <c r="E30" s="3"/>
      <c r="F30" s="3"/>
      <c r="G30" s="3"/>
      <c r="H30" s="3"/>
      <c r="I30" s="3"/>
      <c r="J30" s="3"/>
      <c r="L30" s="39"/>
      <c r="N30" s="39"/>
      <c r="O30" s="39"/>
      <c r="P30" s="39"/>
      <c r="Q30" s="39"/>
      <c r="R30" s="39"/>
    </row>
    <row r="31" spans="1:18" ht="13.5" customHeight="1" x14ac:dyDescent="0.25">
      <c r="A31" s="37"/>
      <c r="B31" s="17" t="s">
        <v>26</v>
      </c>
      <c r="C31" s="84">
        <f>IF((ROUND('Skema1-7_2017'!C31,0))=0,"-",((('Skema1-7_2018'!C31-'Skema1-7_2017'!C31)/'Skema1-7_2017'!C31))*100)</f>
        <v>-1.2460816570275781</v>
      </c>
      <c r="D31" s="152">
        <f>IF((ROUND('Skema1-7_2017'!D31,0))=0,"-",((('Skema1-7_2018'!D31-'Skema1-7_2017'!D31)/'Skema1-7_2017'!D31))*100)</f>
        <v>-5.4522095896081337</v>
      </c>
      <c r="E31" s="152">
        <f>IF((ROUND('Skema1-7_2017'!E31,0))=0,"-",((('Skema1-7_2018'!E31-'Skema1-7_2017'!E31)/'Skema1-7_2017'!E31))*100)</f>
        <v>4.8470252677995393</v>
      </c>
      <c r="F31" s="152" t="str">
        <f>IF((ROUND('Skema1-7_2017'!F31,0))=0,"-",((('Skema1-7_2018'!F31-'Skema1-7_2017'!F31)/'Skema1-7_2017'!F31))*100)</f>
        <v>-</v>
      </c>
      <c r="G31" s="152">
        <f>IF((ROUND('Skema1-7_2017'!G31,0))=0,"-",((('Skema1-7_2018'!G31-'Skema1-7_2017'!G31)/'Skema1-7_2017'!G31))*100)</f>
        <v>46.596075034737694</v>
      </c>
      <c r="H31" s="152">
        <f>IF((ROUND('Skema1-7_2017'!H31,0))=0,"-",((('Skema1-7_2018'!H31-'Skema1-7_2017'!H31)/'Skema1-7_2017'!H31))*100)</f>
        <v>17.659593559269538</v>
      </c>
      <c r="I31" s="152">
        <f>IF((ROUND('Skema1-7_2017'!I31,0))=0,"-",((('Skema1-7_2018'!I31-'Skema1-7_2017'!I31)/'Skema1-7_2017'!I31))*100)</f>
        <v>14.798743169964368</v>
      </c>
      <c r="J31" s="183">
        <f>IF((ROUND('Skema1-7_2017'!J31,0))=0,"-",((('Skema1-7_2018'!J31-'Skema1-7_2017'!J31)/'Skema1-7_2017'!J31))*100)</f>
        <v>0.33211897113895922</v>
      </c>
      <c r="L31" s="47"/>
      <c r="N31" s="39"/>
      <c r="O31" s="39"/>
      <c r="P31" s="39"/>
      <c r="Q31" s="39"/>
      <c r="R31" s="39"/>
    </row>
    <row r="32" spans="1:18" ht="13.5" customHeight="1" x14ac:dyDescent="0.25">
      <c r="A32" s="37"/>
      <c r="B32" s="19" t="s">
        <v>27</v>
      </c>
      <c r="C32" s="85">
        <f>IF((ROUND('Skema1-7_2017'!C32,0))=0,"-",((('Skema1-7_2018'!C32-'Skema1-7_2017'!C32)/'Skema1-7_2017'!C32))*100)</f>
        <v>-0.52936008220801445</v>
      </c>
      <c r="D32" s="85">
        <f>IF((ROUND('Skema1-7_2017'!D32,0))=0,"-",((('Skema1-7_2018'!D32-'Skema1-7_2017'!D32)/'Skema1-7_2017'!D32))*100)</f>
        <v>-12.008262074771196</v>
      </c>
      <c r="E32" s="85">
        <f>IF((ROUND('Skema1-7_2017'!E32,0))=0,"-",((('Skema1-7_2018'!E32-'Skema1-7_2017'!E32)/'Skema1-7_2017'!E32))*100)</f>
        <v>0.4204599826847123</v>
      </c>
      <c r="F32" s="85" t="str">
        <f>IF((ROUND('Skema1-7_2017'!F32,0))=0,"-",((('Skema1-7_2018'!F32-'Skema1-7_2017'!F32)/'Skema1-7_2017'!F32))*100)</f>
        <v>-</v>
      </c>
      <c r="G32" s="85">
        <f>IF((ROUND('Skema1-7_2017'!G32,0))=0,"-",((('Skema1-7_2018'!G32-'Skema1-7_2017'!G32)/'Skema1-7_2017'!G32))*100)</f>
        <v>17.931354270532694</v>
      </c>
      <c r="H32" s="85">
        <f>IF((ROUND('Skema1-7_2017'!H32,0))=0,"-",((('Skema1-7_2018'!H32-'Skema1-7_2017'!H32)/'Skema1-7_2017'!H32))*100)</f>
        <v>1.8348056898434613</v>
      </c>
      <c r="I32" s="81">
        <f>IF((ROUND('Skema1-7_2017'!I32,0))=0,"-",((('Skema1-7_2018'!I32-'Skema1-7_2017'!I32)/'Skema1-7_2017'!I32))*100)</f>
        <v>-11.795694872308864</v>
      </c>
      <c r="J32" s="184">
        <f>IF((ROUND('Skema1-7_2017'!J32,0))=0,"-",((('Skema1-7_2018'!J32-'Skema1-7_2017'!J32)/'Skema1-7_2017'!J32))*100)</f>
        <v>-1.8759402545351769</v>
      </c>
      <c r="L32" s="47"/>
      <c r="N32" s="46"/>
      <c r="O32" s="46"/>
      <c r="P32" s="46"/>
      <c r="Q32" s="39"/>
      <c r="R32" s="39"/>
    </row>
    <row r="33" spans="1:18" ht="13.5" customHeight="1" x14ac:dyDescent="0.25">
      <c r="A33" s="37"/>
      <c r="B33" s="19" t="s">
        <v>28</v>
      </c>
      <c r="C33" s="85">
        <f>IF((ROUND('Skema1-7_2017'!C33,0))=0,"-",((('Skema1-7_2018'!C33-'Skema1-7_2017'!C33)/'Skema1-7_2017'!C33))*100)</f>
        <v>1.6912475267600626</v>
      </c>
      <c r="D33" s="85">
        <f>IF((ROUND('Skema1-7_2017'!D33,0))=0,"-",((('Skema1-7_2018'!D33-'Skema1-7_2017'!D33)/'Skema1-7_2017'!D33))*100)</f>
        <v>14.129081946356262</v>
      </c>
      <c r="E33" s="85">
        <f>IF((ROUND('Skema1-7_2017'!E33,0))=0,"-",((('Skema1-7_2018'!E33-'Skema1-7_2017'!E33)/'Skema1-7_2017'!E33))*100)</f>
        <v>1.7944917431862413</v>
      </c>
      <c r="F33" s="85">
        <f>IF((ROUND('Skema1-7_2017'!F33,0))=0,"-",((('Skema1-7_2018'!F33-'Skema1-7_2017'!F33)/'Skema1-7_2017'!F33))*100)</f>
        <v>-5.1466821746551723</v>
      </c>
      <c r="G33" s="85">
        <f>IF((ROUND('Skema1-7_2017'!G33,0))=0,"-",((('Skema1-7_2018'!G33-'Skema1-7_2017'!G33)/'Skema1-7_2017'!G33))*100)</f>
        <v>-10.61178111976667</v>
      </c>
      <c r="H33" s="85">
        <f>IF((ROUND('Skema1-7_2017'!H33,0))=0,"-",((('Skema1-7_2018'!H33-'Skema1-7_2017'!H33)/'Skema1-7_2017'!H33))*100)</f>
        <v>6.7384815517008105</v>
      </c>
      <c r="I33" s="81" t="str">
        <f>IF((ROUND('Skema1-7_2017'!I33,0))=0,"-",((('Skema1-7_2018'!I33-'Skema1-7_2017'!I33)/'Skema1-7_2017'!I33))*100)</f>
        <v>-</v>
      </c>
      <c r="J33" s="184">
        <f>IF((ROUND('Skema1-7_2017'!J33,0))=0,"-",((('Skema1-7_2018'!J33-'Skema1-7_2017'!J33)/'Skema1-7_2017'!J33))*100)</f>
        <v>1.8736777602156831</v>
      </c>
      <c r="L33" s="47"/>
      <c r="N33" s="46"/>
      <c r="O33" s="46"/>
      <c r="P33" s="46"/>
      <c r="Q33" s="39"/>
      <c r="R33" s="39"/>
    </row>
    <row r="34" spans="1:18" ht="13.5" customHeight="1" x14ac:dyDescent="0.25">
      <c r="A34" s="37"/>
      <c r="B34" s="19" t="s">
        <v>29</v>
      </c>
      <c r="C34" s="85">
        <f>IF((ROUND('Skema1-7_2017'!C34,0))=0,"-",((('Skema1-7_2018'!C34-'Skema1-7_2017'!C34)/'Skema1-7_2017'!C34))*100)</f>
        <v>2.8389418912322769E-2</v>
      </c>
      <c r="D34" s="85">
        <f>IF((ROUND('Skema1-7_2017'!D34,0))=0,"-",((('Skema1-7_2018'!D34-'Skema1-7_2017'!D34)/'Skema1-7_2017'!D34))*100)</f>
        <v>-21.029532053742123</v>
      </c>
      <c r="E34" s="85">
        <f>IF((ROUND('Skema1-7_2017'!E34,0))=0,"-",((('Skema1-7_2018'!E34-'Skema1-7_2017'!E34)/'Skema1-7_2017'!E34))*100)</f>
        <v>1.095186532062866</v>
      </c>
      <c r="F34" s="85" t="str">
        <f>IF((ROUND('Skema1-7_2017'!F34,0))=0,"-",((('Skema1-7_2018'!F34-'Skema1-7_2017'!F34)/'Skema1-7_2017'!F34))*100)</f>
        <v>-</v>
      </c>
      <c r="G34" s="85">
        <f>IF((ROUND('Skema1-7_2017'!G34,0))=0,"-",((('Skema1-7_2018'!G34-'Skema1-7_2017'!G34)/'Skema1-7_2017'!G34))*100)</f>
        <v>11.585190856710744</v>
      </c>
      <c r="H34" s="85">
        <f>IF((ROUND('Skema1-7_2017'!H34,0))=0,"-",((('Skema1-7_2018'!H34-'Skema1-7_2017'!H34)/'Skema1-7_2017'!H34))*100)</f>
        <v>-22.31108023851629</v>
      </c>
      <c r="I34" s="81">
        <f>IF((ROUND('Skema1-7_2017'!I34,0))=0,"-",((('Skema1-7_2018'!I34-'Skema1-7_2017'!I34)/'Skema1-7_2017'!I34))*100)</f>
        <v>19.038497807534519</v>
      </c>
      <c r="J34" s="184">
        <f>IF((ROUND('Skema1-7_2017'!J34,0))=0,"-",((('Skema1-7_2018'!J34-'Skema1-7_2017'!J34)/'Skema1-7_2017'!J34))*100)</f>
        <v>-1.3781651142608951</v>
      </c>
      <c r="L34" s="47"/>
      <c r="N34" s="46"/>
      <c r="O34" s="46"/>
      <c r="P34" s="46"/>
      <c r="Q34" s="39"/>
      <c r="R34" s="39"/>
    </row>
    <row r="35" spans="1:18" ht="13.5" customHeight="1" x14ac:dyDescent="0.25">
      <c r="A35" s="38"/>
      <c r="B35" s="20" t="s">
        <v>30</v>
      </c>
      <c r="C35" s="86">
        <f>IF((ROUND('Skema1-7_2017'!C35,0))=0,"-",((('Skema1-7_2018'!C35-'Skema1-7_2017'!C35)/'Skema1-7_2017'!C35))*100)</f>
        <v>0.11791194735539362</v>
      </c>
      <c r="D35" s="86">
        <f>IF((ROUND('Skema1-7_2017'!D35,0))=0,"-",((('Skema1-7_2018'!D35-'Skema1-7_2017'!D35)/'Skema1-7_2017'!D35))*100)</f>
        <v>-19.402434043047371</v>
      </c>
      <c r="E35" s="86">
        <f>IF((ROUND('Skema1-7_2017'!E35,0))=0,"-",((('Skema1-7_2018'!E35-'Skema1-7_2017'!E35)/'Skema1-7_2017'!E35))*100)</f>
        <v>0.68072610295024205</v>
      </c>
      <c r="F35" s="86" t="str">
        <f>IF((ROUND('Skema1-7_2017'!F35,0))=0,"-",((('Skema1-7_2018'!F35-'Skema1-7_2017'!F35)/'Skema1-7_2017'!F35))*100)</f>
        <v>-</v>
      </c>
      <c r="G35" s="86">
        <f>IF((ROUND('Skema1-7_2017'!G35,0))=0,"-",((('Skema1-7_2018'!G35-'Skema1-7_2017'!G35)/'Skema1-7_2017'!G35))*100)</f>
        <v>-69.960834975717617</v>
      </c>
      <c r="H35" s="86">
        <f>IF((ROUND('Skema1-7_2017'!H35,0))=0,"-",((('Skema1-7_2018'!H35-'Skema1-7_2017'!H35)/'Skema1-7_2017'!H35))*100)</f>
        <v>-3.6254001336968829</v>
      </c>
      <c r="I35" s="86">
        <f>IF((ROUND('Skema1-7_2017'!I35,0))=0,"-",((('Skema1-7_2018'!I35-'Skema1-7_2017'!I35)/'Skema1-7_2017'!I35))*100)</f>
        <v>-64.106599318935977</v>
      </c>
      <c r="J35" s="185">
        <f>IF((ROUND('Skema1-7_2017'!J35,0))=0,"-",((('Skema1-7_2018'!J35-'Skema1-7_2017'!J35)/'Skema1-7_2017'!J35))*100)</f>
        <v>0.84543037401906063</v>
      </c>
      <c r="L35" s="47"/>
      <c r="N35" s="46"/>
      <c r="O35" s="46"/>
      <c r="P35" s="46"/>
      <c r="Q35" s="39"/>
      <c r="R35" s="39"/>
    </row>
    <row r="36" spans="1:18" ht="13.5" customHeight="1" x14ac:dyDescent="0.25">
      <c r="A36" s="38"/>
      <c r="B36" s="13" t="s">
        <v>14</v>
      </c>
      <c r="C36" s="87">
        <f>IF((ROUND('Skema1-7_2017'!C36,0))=0,"-",((('Skema1-7_2018'!C36-'Skema1-7_2017'!C36)/'Skema1-7_2017'!C36))*100)</f>
        <v>-2.7767284554878088E-2</v>
      </c>
      <c r="D36" s="87">
        <f>IF((ROUND('Skema1-7_2017'!D36,0))=0,"-",((('Skema1-7_2018'!D36-'Skema1-7_2017'!D36)/'Skema1-7_2017'!D36))*100)</f>
        <v>-9.4363542995578698</v>
      </c>
      <c r="E36" s="87">
        <f>IF((ROUND('Skema1-7_2017'!E36,0))=0,"-",((('Skema1-7_2018'!E36-'Skema1-7_2017'!E36)/'Skema1-7_2017'!E36))*100)</f>
        <v>3.3506780906217193</v>
      </c>
      <c r="F36" s="87">
        <f>IF((ROUND('Skema1-7_2017'!F36,0))=0,"-",((('Skema1-7_2018'!F36-'Skema1-7_2017'!F36)/'Skema1-7_2017'!F36))*100)</f>
        <v>-5.1466821746551723</v>
      </c>
      <c r="G36" s="87">
        <f>IF((ROUND('Skema1-7_2017'!G36,0))=0,"-",((('Skema1-7_2018'!G36-'Skema1-7_2017'!G36)/'Skema1-7_2017'!G36))*100)</f>
        <v>0.92252453261926715</v>
      </c>
      <c r="H36" s="87">
        <f>IF((ROUND('Skema1-7_2017'!H36,0))=0,"-",((('Skema1-7_2018'!H36-'Skema1-7_2017'!H36)/'Skema1-7_2017'!H36))*100)</f>
        <v>74.153516116924123</v>
      </c>
      <c r="I36" s="87">
        <f>IF((ROUND('Skema1-7_2017'!I36,0))=0,"-",((('Skema1-7_2018'!I36-'Skema1-7_2017'!I36)/'Skema1-7_2017'!I36))*100)</f>
        <v>-1.3738260965283569</v>
      </c>
      <c r="J36" s="186">
        <f>IF((ROUND('Skema1-7_2017'!J36,0))=0,"-",((('Skema1-7_2018'!J36-'Skema1-7_2017'!J36)/'Skema1-7_2017'!J36))*100)</f>
        <v>4.8984604452773486E-2</v>
      </c>
      <c r="L36" s="39"/>
      <c r="M36" s="39"/>
      <c r="N36" s="46"/>
      <c r="O36" s="46"/>
      <c r="P36" s="46"/>
      <c r="Q36" s="39"/>
      <c r="R36" s="39"/>
    </row>
    <row r="37" spans="1:18" ht="13.5" customHeight="1" x14ac:dyDescent="0.25">
      <c r="C37" s="25"/>
      <c r="N37" s="39"/>
      <c r="O37" s="39"/>
      <c r="P37" s="39"/>
      <c r="Q37" s="39"/>
      <c r="R37" s="39"/>
    </row>
    <row r="38" spans="1:18" ht="13.5" customHeight="1" x14ac:dyDescent="0.25">
      <c r="D38" s="36"/>
      <c r="E38" s="36"/>
      <c r="N38" s="39"/>
      <c r="O38" s="39"/>
      <c r="P38" s="39"/>
      <c r="Q38" s="39"/>
      <c r="R38" s="39"/>
    </row>
    <row r="39" spans="1:18" ht="13.5" customHeight="1" x14ac:dyDescent="0.25">
      <c r="N39" s="39"/>
      <c r="O39" s="39"/>
      <c r="P39" s="39"/>
      <c r="Q39" s="39"/>
      <c r="R39" s="39"/>
    </row>
    <row r="40" spans="1:18" ht="13.5" customHeight="1" x14ac:dyDescent="0.25">
      <c r="N40" s="39"/>
      <c r="O40" s="39"/>
      <c r="P40" s="39"/>
      <c r="Q40" s="39"/>
      <c r="R40" s="39"/>
    </row>
    <row r="41" spans="1:18" ht="13.5" customHeight="1" x14ac:dyDescent="0.25">
      <c r="N41" s="39"/>
      <c r="O41" s="39"/>
      <c r="P41" s="39"/>
      <c r="Q41" s="39"/>
      <c r="R41" s="39"/>
    </row>
    <row r="42" spans="1:18" ht="13.5" customHeight="1" x14ac:dyDescent="0.25">
      <c r="N42" s="39"/>
      <c r="O42" s="39"/>
      <c r="P42" s="39"/>
      <c r="Q42" s="39"/>
      <c r="R42" s="39"/>
    </row>
    <row r="43" spans="1:18" ht="13.5" customHeight="1" x14ac:dyDescent="0.25">
      <c r="N43" s="39"/>
      <c r="O43" s="39"/>
      <c r="P43" s="39"/>
      <c r="Q43" s="39"/>
      <c r="R43" s="39"/>
    </row>
    <row r="44" spans="1:18" ht="13.5" customHeight="1" x14ac:dyDescent="0.25">
      <c r="N44" s="39"/>
      <c r="O44" s="39"/>
      <c r="P44" s="39"/>
      <c r="Q44" s="39"/>
      <c r="R44" s="39"/>
    </row>
    <row r="45" spans="1:18" x14ac:dyDescent="0.25">
      <c r="N45" s="39"/>
      <c r="O45" s="39"/>
      <c r="P45" s="39"/>
      <c r="Q45" s="39"/>
      <c r="R45" s="39"/>
    </row>
  </sheetData>
  <pageMargins left="0.51181102362204722" right="0.43307086614173229" top="0.51181102362204722" bottom="0.19685039370078741" header="0.23622047244094491" footer="0.23622047244094491"/>
  <pageSetup paperSize="9" scale="64" orientation="landscape" horizontalDpi="300" verticalDpi="300" r:id="rId1"/>
  <headerFooter alignWithMargins="0">
    <oddHeader>&amp;CSide &amp;P /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/>
  </sheetViews>
  <sheetFormatPr defaultColWidth="9.1796875" defaultRowHeight="11.5" x14ac:dyDescent="0.25"/>
  <cols>
    <col min="1" max="1" width="8.54296875" style="38" customWidth="1"/>
    <col min="2" max="2" width="39.26953125" style="24" customWidth="1"/>
    <col min="3" max="3" width="20.1796875" style="26" customWidth="1"/>
    <col min="4" max="7" width="14.26953125" style="24" customWidth="1"/>
    <col min="8" max="8" width="9.1796875" style="24"/>
    <col min="9" max="9" width="9.1796875" style="24" customWidth="1"/>
    <col min="10" max="16384" width="9.1796875" style="24"/>
  </cols>
  <sheetData>
    <row r="1" spans="1:14" ht="15.5" x14ac:dyDescent="0.35">
      <c r="A1" s="72" t="str">
        <f>'Skema1-7_2017'!A1</f>
        <v>Offentliggjort 9. marts 2021</v>
      </c>
    </row>
    <row r="2" spans="1:14" ht="13.5" customHeight="1" x14ac:dyDescent="0.3">
      <c r="A2" s="89" t="s">
        <v>88</v>
      </c>
      <c r="B2" s="39"/>
      <c r="C2" s="28"/>
      <c r="D2" s="38"/>
    </row>
    <row r="3" spans="1:14" ht="13.5" customHeight="1" x14ac:dyDescent="0.3">
      <c r="A3" s="90" t="s">
        <v>36</v>
      </c>
      <c r="B3" s="39"/>
      <c r="C3" s="28"/>
    </row>
    <row r="4" spans="1:14" ht="54" customHeight="1" x14ac:dyDescent="0.25">
      <c r="A4" s="73" t="s">
        <v>6</v>
      </c>
      <c r="B4" s="73" t="s">
        <v>0</v>
      </c>
      <c r="C4" s="12" t="s">
        <v>15</v>
      </c>
      <c r="D4" s="12" t="s">
        <v>16</v>
      </c>
      <c r="E4" s="12" t="s">
        <v>23</v>
      </c>
      <c r="F4" s="12" t="s">
        <v>21</v>
      </c>
      <c r="G4" s="12" t="s">
        <v>22</v>
      </c>
    </row>
    <row r="5" spans="1:14" ht="13.5" customHeight="1" x14ac:dyDescent="0.25">
      <c r="A5" s="74">
        <f>+'(skema1-7_2017 - 17pl)'!A5</f>
        <v>1301</v>
      </c>
      <c r="B5" s="4" t="str">
        <f>+'(skema1-7_2017 - 17pl)'!B5</f>
        <v>Rigshospitalet</v>
      </c>
      <c r="C5" s="96">
        <f>'Skema1-7_2017'!J5</f>
        <v>9417421.1956871506</v>
      </c>
      <c r="D5" s="82">
        <v>315516.76799999998</v>
      </c>
      <c r="E5" s="82">
        <f>C5-D5</f>
        <v>9101904.4276871514</v>
      </c>
      <c r="F5" s="82">
        <v>1545122.5412956129</v>
      </c>
      <c r="G5" s="91">
        <f>E5-F5</f>
        <v>7556781.8863915382</v>
      </c>
      <c r="I5" s="3"/>
      <c r="J5" s="3"/>
      <c r="K5" s="39"/>
      <c r="L5" s="3"/>
      <c r="M5" s="3"/>
      <c r="N5" s="35"/>
    </row>
    <row r="6" spans="1:14" ht="13.5" customHeight="1" x14ac:dyDescent="0.25">
      <c r="A6" s="75">
        <f>+'(skema1-7_2017 - 17pl)'!A6</f>
        <v>1309</v>
      </c>
      <c r="B6" s="7" t="str">
        <f>+'(skema1-7_2017 - 17pl)'!B6</f>
        <v>Bispebjerg og Frederiksberg Hospital</v>
      </c>
      <c r="C6" s="96">
        <f>'Skema1-7_2017'!J6</f>
        <v>2426404.9004924307</v>
      </c>
      <c r="D6" s="82">
        <v>76776.072</v>
      </c>
      <c r="E6" s="82">
        <f t="shared" ref="E6:E28" si="0">C6-D6</f>
        <v>2349628.8284924305</v>
      </c>
      <c r="F6" s="82">
        <v>109799.29874062905</v>
      </c>
      <c r="G6" s="91">
        <f t="shared" ref="G6:G28" si="1">E6-F6</f>
        <v>2239829.5297518014</v>
      </c>
      <c r="I6" s="3"/>
      <c r="J6" s="3"/>
      <c r="K6" s="39"/>
      <c r="L6" s="3"/>
      <c r="M6" s="3"/>
    </row>
    <row r="7" spans="1:14" ht="13.5" customHeight="1" x14ac:dyDescent="0.25">
      <c r="A7" s="75">
        <f>+'(skema1-7_2017 - 17pl)'!A7</f>
        <v>1330</v>
      </c>
      <c r="B7" s="7" t="str">
        <f>+'(skema1-7_2017 - 17pl)'!B7</f>
        <v>Amager og Hvidovre Hospital</v>
      </c>
      <c r="C7" s="96">
        <f>'Skema1-7_2017'!J7</f>
        <v>3063241.8529191446</v>
      </c>
      <c r="D7" s="82">
        <v>57890.664000000004</v>
      </c>
      <c r="E7" s="82">
        <f t="shared" si="0"/>
        <v>3005351.1889191447</v>
      </c>
      <c r="F7" s="82">
        <v>143134.46077419602</v>
      </c>
      <c r="G7" s="91">
        <f t="shared" si="1"/>
        <v>2862216.7281449488</v>
      </c>
      <c r="I7" s="3"/>
      <c r="J7" s="3"/>
      <c r="K7" s="39"/>
      <c r="L7" s="3"/>
      <c r="M7" s="92"/>
    </row>
    <row r="8" spans="1:14" ht="13.5" customHeight="1" x14ac:dyDescent="0.25">
      <c r="A8" s="75">
        <f>+'(skema1-7_2017 - 17pl)'!A8</f>
        <v>1516</v>
      </c>
      <c r="B8" s="7" t="str">
        <f>+'(skema1-7_2017 - 17pl)'!B8</f>
        <v>Herlev og Gentofte Hospital</v>
      </c>
      <c r="C8" s="96">
        <f>'Skema1-7_2017'!J8</f>
        <v>5266105.0525562419</v>
      </c>
      <c r="D8" s="82">
        <v>74087.736000000004</v>
      </c>
      <c r="E8" s="82">
        <f t="shared" si="0"/>
        <v>5192017.3165562423</v>
      </c>
      <c r="F8" s="82">
        <v>617240.46653223422</v>
      </c>
      <c r="G8" s="91">
        <f t="shared" si="1"/>
        <v>4574776.8500240082</v>
      </c>
      <c r="I8" s="3"/>
      <c r="J8" s="3"/>
      <c r="K8" s="39"/>
      <c r="L8" s="3"/>
      <c r="M8" s="3"/>
    </row>
    <row r="9" spans="1:14" ht="13.5" customHeight="1" x14ac:dyDescent="0.25">
      <c r="A9" s="75">
        <f>+'(skema1-7_2017 - 17pl)'!A9</f>
        <v>1507</v>
      </c>
      <c r="B9" s="7" t="str">
        <f>+'(skema1-7_2017 - 17pl)'!B9</f>
        <v>Steno Diabetes Center Copenhagen</v>
      </c>
      <c r="C9" s="96">
        <f>'Skema1-7_2017'!J9</f>
        <v>73311.434878674554</v>
      </c>
      <c r="D9" s="82">
        <v>88</v>
      </c>
      <c r="E9" s="82">
        <f t="shared" si="0"/>
        <v>73223.434878674554</v>
      </c>
      <c r="F9" s="82">
        <v>245.9475904</v>
      </c>
      <c r="G9" s="91">
        <f t="shared" si="1"/>
        <v>72977.487288274555</v>
      </c>
      <c r="I9" s="3"/>
      <c r="J9" s="3"/>
      <c r="K9" s="39"/>
      <c r="L9" s="3"/>
      <c r="M9" s="3"/>
    </row>
    <row r="10" spans="1:14" ht="13.5" customHeight="1" x14ac:dyDescent="0.25">
      <c r="A10" s="75">
        <f>+'(skema1-7_2017 - 17pl)'!A10</f>
        <v>2000</v>
      </c>
      <c r="B10" s="7" t="str">
        <f>+'(skema1-7_2017 - 17pl)'!B10</f>
        <v>Nordsjællands Hospital</v>
      </c>
      <c r="C10" s="96">
        <f>'Skema1-7_2017'!J10</f>
        <v>2518179.2222551773</v>
      </c>
      <c r="D10" s="82">
        <v>34451.544000000002</v>
      </c>
      <c r="E10" s="82">
        <f t="shared" si="0"/>
        <v>2483727.6782551771</v>
      </c>
      <c r="F10" s="82">
        <v>122488.42794850022</v>
      </c>
      <c r="G10" s="91">
        <f t="shared" si="1"/>
        <v>2361239.2503066771</v>
      </c>
      <c r="I10" s="3"/>
      <c r="J10" s="3"/>
      <c r="K10" s="39"/>
      <c r="L10" s="3"/>
      <c r="M10" s="3"/>
    </row>
    <row r="11" spans="1:14" ht="13.5" customHeight="1" x14ac:dyDescent="0.25">
      <c r="A11" s="75">
        <f>+'(skema1-7_2017 - 17pl)'!A11</f>
        <v>4001</v>
      </c>
      <c r="B11" s="7" t="str">
        <f>+'(skema1-7_2017 - 17pl)'!B11</f>
        <v>Bornholms Hospital</v>
      </c>
      <c r="C11" s="96">
        <f>'Skema1-7_2017'!J11</f>
        <v>430018.82490196684</v>
      </c>
      <c r="D11" s="82">
        <v>0</v>
      </c>
      <c r="E11" s="82">
        <f t="shared" si="0"/>
        <v>430018.82490196684</v>
      </c>
      <c r="F11" s="82">
        <v>27193.934716481024</v>
      </c>
      <c r="G11" s="91">
        <f t="shared" si="1"/>
        <v>402824.89018548583</v>
      </c>
      <c r="I11" s="3"/>
      <c r="J11" s="3"/>
      <c r="K11" s="39"/>
      <c r="L11" s="3"/>
      <c r="M11" s="3"/>
    </row>
    <row r="12" spans="1:14" ht="13.5" customHeight="1" x14ac:dyDescent="0.25">
      <c r="A12" s="75">
        <f>+'(skema1-7_2017 - 17pl)'!A12</f>
        <v>3810</v>
      </c>
      <c r="B12" s="7" t="str">
        <f>+'(skema1-7_2017 - 17pl)'!B12</f>
        <v>Sjællands Universitetshospital</v>
      </c>
      <c r="C12" s="96">
        <f>'Skema1-7_2017'!J12</f>
        <v>3853963.7988614282</v>
      </c>
      <c r="D12" s="82">
        <v>78881.224000000002</v>
      </c>
      <c r="E12" s="82">
        <f t="shared" si="0"/>
        <v>3775082.5748614282</v>
      </c>
      <c r="F12" s="82">
        <v>665667.82874810509</v>
      </c>
      <c r="G12" s="91">
        <f t="shared" si="1"/>
        <v>3109414.7461133231</v>
      </c>
      <c r="I12" s="3"/>
      <c r="J12" s="3"/>
      <c r="K12" s="39"/>
      <c r="L12" s="3"/>
      <c r="M12" s="3"/>
    </row>
    <row r="13" spans="1:14" ht="13.5" customHeight="1" x14ac:dyDescent="0.25">
      <c r="A13" s="75">
        <f>+'(skema1-7_2017 - 17pl)'!A13</f>
        <v>3820</v>
      </c>
      <c r="B13" s="7" t="str">
        <f>+'(skema1-7_2017 - 17pl)'!B13</f>
        <v>Holbæk Sygehus</v>
      </c>
      <c r="C13" s="96">
        <f>'Skema1-7_2017'!J13</f>
        <v>1312870.0551384196</v>
      </c>
      <c r="D13" s="82">
        <v>24259.031999999999</v>
      </c>
      <c r="E13" s="82">
        <f t="shared" si="0"/>
        <v>1288611.0231384197</v>
      </c>
      <c r="F13" s="82">
        <v>58202.063430397764</v>
      </c>
      <c r="G13" s="91">
        <f t="shared" si="1"/>
        <v>1230408.959708022</v>
      </c>
      <c r="I13" s="3"/>
      <c r="J13" s="3"/>
      <c r="K13" s="39"/>
      <c r="L13" s="3"/>
      <c r="M13" s="3"/>
    </row>
    <row r="14" spans="1:14" ht="13.5" customHeight="1" x14ac:dyDescent="0.25">
      <c r="A14" s="75">
        <f>+'(skema1-7_2017 - 17pl)'!A14</f>
        <v>3830</v>
      </c>
      <c r="B14" s="7" t="str">
        <f>+'(skema1-7_2017 - 17pl)'!B14</f>
        <v>Næstved, Slagelse og Ringsted sygehuse</v>
      </c>
      <c r="C14" s="96">
        <f>'Skema1-7_2017'!J14</f>
        <v>2119449.663625292</v>
      </c>
      <c r="D14" s="82">
        <v>32911.288</v>
      </c>
      <c r="E14" s="82">
        <f t="shared" si="0"/>
        <v>2086538.3756252921</v>
      </c>
      <c r="F14" s="82">
        <v>72432.494645739527</v>
      </c>
      <c r="G14" s="91">
        <f t="shared" si="1"/>
        <v>2014105.8809795526</v>
      </c>
      <c r="I14" s="3"/>
      <c r="J14" s="3"/>
      <c r="K14" s="39"/>
      <c r="L14" s="3"/>
      <c r="M14" s="3"/>
    </row>
    <row r="15" spans="1:14" ht="13.5" customHeight="1" x14ac:dyDescent="0.25">
      <c r="A15" s="75">
        <f>+'(skema1-7_2017 - 17pl)'!A15</f>
        <v>3840</v>
      </c>
      <c r="B15" s="7" t="str">
        <f>+'(skema1-7_2017 - 17pl)'!B15</f>
        <v>Nykøbing Sygehus</v>
      </c>
      <c r="C15" s="96">
        <f>'Skema1-7_2017'!J15</f>
        <v>969397.65572133649</v>
      </c>
      <c r="D15" s="82">
        <v>13082.016</v>
      </c>
      <c r="E15" s="82">
        <f t="shared" si="0"/>
        <v>956315.63972133654</v>
      </c>
      <c r="F15" s="82">
        <v>14502.960971883394</v>
      </c>
      <c r="G15" s="91">
        <f t="shared" si="1"/>
        <v>941812.67874945316</v>
      </c>
      <c r="I15" s="3"/>
      <c r="J15" s="3"/>
      <c r="K15" s="39"/>
      <c r="L15" s="3"/>
      <c r="M15" s="3"/>
    </row>
    <row r="16" spans="1:14" ht="13.5" customHeight="1" x14ac:dyDescent="0.25">
      <c r="A16" s="75">
        <f>+'(skema1-7_2017 - 17pl)'!A16</f>
        <v>4202</v>
      </c>
      <c r="B16" s="7" t="str">
        <f>+'(skema1-7_2017 - 17pl)'!B16</f>
        <v>Odense Universitetshospital</v>
      </c>
      <c r="C16" s="96">
        <f>'Skema1-7_2017'!J16</f>
        <v>7033681.1108683385</v>
      </c>
      <c r="D16" s="82">
        <v>173074.584</v>
      </c>
      <c r="E16" s="82">
        <f t="shared" si="0"/>
        <v>6860606.5268683387</v>
      </c>
      <c r="F16" s="82">
        <v>903471.81448956276</v>
      </c>
      <c r="G16" s="91">
        <f t="shared" si="1"/>
        <v>5957134.7123787757</v>
      </c>
      <c r="I16" s="3"/>
      <c r="J16" s="3"/>
      <c r="K16" s="39"/>
      <c r="L16" s="3"/>
      <c r="M16" s="3"/>
    </row>
    <row r="17" spans="1:13" ht="13.5" customHeight="1" x14ac:dyDescent="0.25">
      <c r="A17" s="75">
        <f>+'(skema1-7_2017 - 17pl)'!A17</f>
        <v>5000</v>
      </c>
      <c r="B17" s="7" t="str">
        <f>+'(skema1-7_2017 - 17pl)'!B17</f>
        <v>Sygehus Sønderjylland</v>
      </c>
      <c r="C17" s="96">
        <f>'Skema1-7_2017'!J17</f>
        <v>1837088.021070095</v>
      </c>
      <c r="D17" s="82">
        <v>9467.0879999999997</v>
      </c>
      <c r="E17" s="82">
        <f t="shared" si="0"/>
        <v>1827620.933070095</v>
      </c>
      <c r="F17" s="82">
        <v>145997.64742994998</v>
      </c>
      <c r="G17" s="91">
        <f t="shared" si="1"/>
        <v>1681623.285640145</v>
      </c>
      <c r="I17" s="3"/>
      <c r="J17" s="3"/>
      <c r="K17" s="39"/>
      <c r="L17" s="3"/>
      <c r="M17" s="3"/>
    </row>
    <row r="18" spans="1:13" ht="13.5" customHeight="1" x14ac:dyDescent="0.35">
      <c r="A18" s="75">
        <f>+'(skema1-7_2017 - 17pl)'!A18</f>
        <v>5501</v>
      </c>
      <c r="B18" s="7" t="str">
        <f>+'(skema1-7_2017 - 17pl)'!B18</f>
        <v>Sydvestjysk Sygehus</v>
      </c>
      <c r="C18" s="96">
        <f>'Skema1-7_2017'!J18</f>
        <v>1867101.5670928401</v>
      </c>
      <c r="D18" s="82">
        <v>16037.56</v>
      </c>
      <c r="E18" s="82">
        <f t="shared" si="0"/>
        <v>1851064.00709284</v>
      </c>
      <c r="F18" s="82">
        <v>162117.38949184105</v>
      </c>
      <c r="G18" s="91">
        <f t="shared" si="1"/>
        <v>1688946.6176009991</v>
      </c>
      <c r="I18" s="188"/>
      <c r="J18" s="3"/>
      <c r="K18" s="39"/>
      <c r="L18" s="3"/>
      <c r="M18" s="3"/>
    </row>
    <row r="19" spans="1:13" ht="13.5" customHeight="1" x14ac:dyDescent="0.25">
      <c r="A19" s="75">
        <f>+'(skema1-7_2017 - 17pl)'!A19</f>
        <v>6007</v>
      </c>
      <c r="B19" s="7" t="str">
        <f>+'(skema1-7_2017 - 17pl)'!B19</f>
        <v>Fredericia og Kolding sygehuse</v>
      </c>
      <c r="C19" s="96">
        <f>'Skema1-7_2017'!J19</f>
        <v>1525835.6043335989</v>
      </c>
      <c r="D19" s="82">
        <v>31707.124800000001</v>
      </c>
      <c r="E19" s="82">
        <f t="shared" si="0"/>
        <v>1494128.4795335988</v>
      </c>
      <c r="F19" s="82">
        <v>115740.57948859905</v>
      </c>
      <c r="G19" s="91">
        <f t="shared" si="1"/>
        <v>1378387.9000449998</v>
      </c>
      <c r="I19" s="3"/>
      <c r="J19" s="3"/>
      <c r="K19" s="39"/>
      <c r="L19" s="3"/>
      <c r="M19" s="3"/>
    </row>
    <row r="20" spans="1:13" ht="13.5" customHeight="1" x14ac:dyDescent="0.25">
      <c r="A20" s="75">
        <f>+'(skema1-7_2017 - 17pl)'!A20</f>
        <v>6008</v>
      </c>
      <c r="B20" s="7" t="str">
        <f>+'(skema1-7_2017 - 17pl)'!B20</f>
        <v>Vejle-Give-Middelfart sygehuse</v>
      </c>
      <c r="C20" s="96">
        <f>'Skema1-7_2017'!J20</f>
        <v>1849371.9038002412</v>
      </c>
      <c r="D20" s="82">
        <v>73983.291199999992</v>
      </c>
      <c r="E20" s="82">
        <f t="shared" si="0"/>
        <v>1775388.6126002411</v>
      </c>
      <c r="F20" s="82">
        <v>373500.38218239998</v>
      </c>
      <c r="G20" s="91">
        <f t="shared" si="1"/>
        <v>1401888.2304178411</v>
      </c>
      <c r="I20" s="3"/>
      <c r="J20" s="3"/>
      <c r="K20" s="39"/>
      <c r="L20" s="3"/>
      <c r="M20" s="3"/>
    </row>
    <row r="21" spans="1:13" ht="13.5" customHeight="1" x14ac:dyDescent="0.25">
      <c r="A21" s="75">
        <f>+'(skema1-7_2017 - 17pl)'!A21</f>
        <v>6013</v>
      </c>
      <c r="B21" s="7" t="str">
        <f>+'(skema1-7_2017 - 17pl)'!B21</f>
        <v>De Vestdanske Friklinikker, Give</v>
      </c>
      <c r="C21" s="96">
        <f>'Skema1-7_2017'!J21</f>
        <v>80206.088000000003</v>
      </c>
      <c r="D21" s="82">
        <v>0</v>
      </c>
      <c r="E21" s="82">
        <f t="shared" si="0"/>
        <v>80206.088000000003</v>
      </c>
      <c r="F21" s="82">
        <v>267.79321600000003</v>
      </c>
      <c r="G21" s="91">
        <f t="shared" si="1"/>
        <v>79938.294783999998</v>
      </c>
      <c r="I21" s="3"/>
      <c r="J21" s="3"/>
      <c r="K21" s="39"/>
      <c r="L21" s="3"/>
      <c r="M21" s="3"/>
    </row>
    <row r="22" spans="1:13" ht="13.5" customHeight="1" x14ac:dyDescent="0.25">
      <c r="A22" s="75">
        <f>+'(skema1-7_2017 - 17pl)'!A22</f>
        <v>6006</v>
      </c>
      <c r="B22" s="7" t="str">
        <f>+'(skema1-7_2017 - 17pl)'!B22</f>
        <v>Hospitalenheden Horsens</v>
      </c>
      <c r="C22" s="96">
        <f>'Skema1-7_2017'!J22</f>
        <v>1077768.3924298976</v>
      </c>
      <c r="D22" s="82">
        <v>7307.0720000000001</v>
      </c>
      <c r="E22" s="82">
        <f t="shared" si="0"/>
        <v>1070461.3204298976</v>
      </c>
      <c r="F22" s="82">
        <v>33587.055589653894</v>
      </c>
      <c r="G22" s="91">
        <f t="shared" si="1"/>
        <v>1036874.2648402437</v>
      </c>
      <c r="I22" s="3"/>
      <c r="J22" s="3"/>
      <c r="K22" s="39"/>
      <c r="L22" s="3"/>
      <c r="M22" s="3"/>
    </row>
    <row r="23" spans="1:13" ht="13.5" customHeight="1" x14ac:dyDescent="0.25">
      <c r="A23" s="75">
        <f>+'(skema1-7_2017 - 17pl)'!A23</f>
        <v>6650</v>
      </c>
      <c r="B23" s="7" t="str">
        <f>+'(skema1-7_2017 - 17pl)'!B23</f>
        <v>Hospitalsenheden Vest</v>
      </c>
      <c r="C23" s="96">
        <f>'Skema1-7_2017'!J23</f>
        <v>2402810.6776971724</v>
      </c>
      <c r="D23" s="82">
        <v>44685.712</v>
      </c>
      <c r="E23" s="82">
        <f t="shared" si="0"/>
        <v>2358124.9656971726</v>
      </c>
      <c r="F23" s="82">
        <v>267793.54534453619</v>
      </c>
      <c r="G23" s="91">
        <f t="shared" si="1"/>
        <v>2090331.4203526364</v>
      </c>
      <c r="I23" s="3"/>
      <c r="J23" s="3"/>
      <c r="K23" s="39"/>
      <c r="L23" s="3"/>
      <c r="M23" s="3"/>
    </row>
    <row r="24" spans="1:13" ht="13.5" customHeight="1" x14ac:dyDescent="0.25">
      <c r="A24" s="75">
        <f>+'(skema1-7_2017 - 17pl)'!A24</f>
        <v>6620</v>
      </c>
      <c r="B24" s="7" t="str">
        <f>+'(skema1-7_2017 - 17pl)'!B24</f>
        <v>Aarhus Universitetshospital</v>
      </c>
      <c r="C24" s="96">
        <f>'Skema1-7_2017'!J24</f>
        <v>7726523.080033754</v>
      </c>
      <c r="D24" s="82">
        <v>255026.16</v>
      </c>
      <c r="E24" s="82">
        <f t="shared" si="0"/>
        <v>7471496.9200337538</v>
      </c>
      <c r="F24" s="82">
        <f>1222502.01802935+(78286.17*1.016)</f>
        <v>1302040.7667493501</v>
      </c>
      <c r="G24" s="91">
        <f t="shared" si="1"/>
        <v>6169456.1532844035</v>
      </c>
      <c r="I24" s="3"/>
      <c r="J24" s="3"/>
      <c r="K24" s="39"/>
      <c r="L24" s="3"/>
      <c r="M24" s="3"/>
    </row>
    <row r="25" spans="1:13" ht="13.5" customHeight="1" x14ac:dyDescent="0.25">
      <c r="A25" s="75">
        <f>+'(skema1-7_2017 - 17pl)'!A25</f>
        <v>7005</v>
      </c>
      <c r="B25" s="7" t="str">
        <f>+'(skema1-7_2017 - 17pl)'!B25</f>
        <v>Regionshospitalet Randers</v>
      </c>
      <c r="C25" s="96">
        <f>'Skema1-7_2017'!J25</f>
        <v>1225270.7024609887</v>
      </c>
      <c r="D25" s="82">
        <v>10182.352000000001</v>
      </c>
      <c r="E25" s="82">
        <f t="shared" si="0"/>
        <v>1215088.3504609887</v>
      </c>
      <c r="F25" s="82">
        <v>35644.555102619197</v>
      </c>
      <c r="G25" s="91">
        <f t="shared" si="1"/>
        <v>1179443.7953583696</v>
      </c>
      <c r="I25" s="3"/>
      <c r="J25" s="3"/>
      <c r="K25" s="39"/>
      <c r="L25" s="3"/>
      <c r="M25" s="3"/>
    </row>
    <row r="26" spans="1:13" ht="13.5" customHeight="1" x14ac:dyDescent="0.25">
      <c r="A26" s="75">
        <f>+'(skema1-7_2017 - 17pl)'!A26</f>
        <v>6630</v>
      </c>
      <c r="B26" s="7" t="str">
        <f>+'(skema1-7_2017 - 17pl)'!B26</f>
        <v>Hospitalsenhed Midt</v>
      </c>
      <c r="C26" s="96">
        <f>'Skema1-7_2017'!J26</f>
        <v>2652285.724229719</v>
      </c>
      <c r="D26" s="82">
        <v>57485.279999999999</v>
      </c>
      <c r="E26" s="82">
        <f t="shared" si="0"/>
        <v>2594800.4442297192</v>
      </c>
      <c r="F26" s="82">
        <v>149199.72766769078</v>
      </c>
      <c r="G26" s="91">
        <f t="shared" si="1"/>
        <v>2445600.7165620285</v>
      </c>
      <c r="I26" s="3"/>
      <c r="J26" s="3"/>
      <c r="K26" s="39"/>
      <c r="L26" s="3"/>
      <c r="M26" s="3"/>
    </row>
    <row r="27" spans="1:13" ht="13.5" customHeight="1" x14ac:dyDescent="0.25">
      <c r="A27" s="75">
        <f>+'(skema1-7_2017 - 17pl)'!A27</f>
        <v>8001</v>
      </c>
      <c r="B27" s="7" t="str">
        <f>+'(skema1-7_2017 - 17pl)'!B27</f>
        <v>Aalborg Universitetshospital</v>
      </c>
      <c r="C27" s="96">
        <f>'Skema1-7_2017'!J27</f>
        <v>4750664.9004799994</v>
      </c>
      <c r="D27" s="82">
        <v>188689.48800000001</v>
      </c>
      <c r="E27" s="82">
        <f t="shared" si="0"/>
        <v>4561975.4124799995</v>
      </c>
      <c r="F27" s="82">
        <v>506241.58472681482</v>
      </c>
      <c r="G27" s="91">
        <f t="shared" si="1"/>
        <v>4055733.8277531848</v>
      </c>
      <c r="I27" s="3"/>
      <c r="J27" s="3"/>
      <c r="K27" s="39"/>
      <c r="L27" s="3"/>
      <c r="M27" s="3"/>
    </row>
    <row r="28" spans="1:13" ht="13.5" customHeight="1" x14ac:dyDescent="0.25">
      <c r="A28" s="75">
        <f>+'(skema1-7_2017 - 17pl)'!A28</f>
        <v>8003</v>
      </c>
      <c r="B28" s="7" t="str">
        <f>+'(skema1-7_2017 - 17pl)'!B28</f>
        <v>Regionshospitalet Nordjylland</v>
      </c>
      <c r="C28" s="96">
        <f>'Skema1-7_2017'!J28</f>
        <v>1469509.6624480002</v>
      </c>
      <c r="D28" s="82">
        <v>6838.6959999999999</v>
      </c>
      <c r="E28" s="82">
        <f t="shared" si="0"/>
        <v>1462670.9664480002</v>
      </c>
      <c r="F28" s="82">
        <v>42591.876662452734</v>
      </c>
      <c r="G28" s="91">
        <f t="shared" si="1"/>
        <v>1420079.0897855475</v>
      </c>
      <c r="I28" s="3"/>
      <c r="J28" s="3"/>
      <c r="K28" s="39"/>
      <c r="L28" s="3"/>
      <c r="M28" s="3"/>
    </row>
    <row r="29" spans="1:13" ht="13.5" customHeight="1" x14ac:dyDescent="0.25">
      <c r="A29" s="13"/>
      <c r="B29" s="13" t="s">
        <v>14</v>
      </c>
      <c r="C29" s="83">
        <f>SUM(C5:C28)</f>
        <v>66948481.091981918</v>
      </c>
      <c r="D29" s="83">
        <f>SUM(D5:D28)</f>
        <v>1582428.7519999999</v>
      </c>
      <c r="E29" s="83">
        <f>SUM(E5:E28)</f>
        <v>65366052.339981914</v>
      </c>
      <c r="F29" s="83">
        <f>SUM(F5:F28)</f>
        <v>7414225.1435356503</v>
      </c>
      <c r="G29" s="93">
        <f>SUM(G5:G28)</f>
        <v>57951827.196446255</v>
      </c>
      <c r="I29" s="3"/>
      <c r="J29" s="3"/>
      <c r="K29" s="39"/>
      <c r="L29" s="3"/>
      <c r="M29" s="3"/>
    </row>
    <row r="30" spans="1:13" ht="13.5" customHeight="1" x14ac:dyDescent="0.25">
      <c r="I30" s="39"/>
      <c r="J30" s="39"/>
      <c r="K30" s="39"/>
      <c r="L30" s="3"/>
      <c r="M30" s="3"/>
    </row>
    <row r="31" spans="1:13" ht="13.5" customHeight="1" x14ac:dyDescent="0.25">
      <c r="B31" s="17" t="s">
        <v>26</v>
      </c>
      <c r="C31" s="18">
        <f>SUM(C5:C11)</f>
        <v>23194682.483690787</v>
      </c>
      <c r="D31" s="18">
        <f>SUM(D5:D11)</f>
        <v>558810.78399999999</v>
      </c>
      <c r="E31" s="18">
        <f>SUM(E5:E11)</f>
        <v>22635871.699690789</v>
      </c>
      <c r="F31" s="18">
        <f>SUM(F5:F11)</f>
        <v>2565225.0775980535</v>
      </c>
      <c r="G31" s="6">
        <f>SUM(G5:G11)</f>
        <v>20070646.622092735</v>
      </c>
    </row>
    <row r="32" spans="1:13" ht="13.5" customHeight="1" x14ac:dyDescent="0.25">
      <c r="B32" s="19" t="s">
        <v>27</v>
      </c>
      <c r="C32" s="5">
        <f>SUM(C12:C15)</f>
        <v>8255681.1733464766</v>
      </c>
      <c r="D32" s="5">
        <f>SUM(D12:D15)</f>
        <v>149133.56</v>
      </c>
      <c r="E32" s="5">
        <f>SUM(E12:E15)</f>
        <v>8106547.613346477</v>
      </c>
      <c r="F32" s="5">
        <f>SUM(F12:F15)</f>
        <v>810805.3477961258</v>
      </c>
      <c r="G32" s="8">
        <f>SUM(G12:G15)</f>
        <v>7295742.2655503508</v>
      </c>
    </row>
    <row r="33" spans="1:7" ht="13.5" customHeight="1" x14ac:dyDescent="0.25">
      <c r="B33" s="19" t="s">
        <v>28</v>
      </c>
      <c r="C33" s="5">
        <f>SUM(C16:C21)</f>
        <v>14193284.295165112</v>
      </c>
      <c r="D33" s="5">
        <f>SUM(D16:D21)</f>
        <v>304269.64799999999</v>
      </c>
      <c r="E33" s="5">
        <f>SUM(E16:E21)</f>
        <v>13889014.647165112</v>
      </c>
      <c r="F33" s="5">
        <f>SUM(F16:F21)</f>
        <v>1701095.6062983528</v>
      </c>
      <c r="G33" s="8">
        <f>SUM(G16:G21)</f>
        <v>12187919.040866761</v>
      </c>
    </row>
    <row r="34" spans="1:7" ht="13.5" customHeight="1" x14ac:dyDescent="0.25">
      <c r="B34" s="19" t="s">
        <v>29</v>
      </c>
      <c r="C34" s="5">
        <f>SUM(C22:C26)</f>
        <v>15084658.576851532</v>
      </c>
      <c r="D34" s="5">
        <f>SUM(D22:D26)</f>
        <v>374686.576</v>
      </c>
      <c r="E34" s="5">
        <f>SUM(E22:E26)</f>
        <v>14709972.000851534</v>
      </c>
      <c r="F34" s="5">
        <f>SUM(F22:F26)</f>
        <v>1788265.6504538499</v>
      </c>
      <c r="G34" s="8">
        <f>SUM(G22:G26)</f>
        <v>12921706.350397682</v>
      </c>
    </row>
    <row r="35" spans="1:7" ht="13.5" customHeight="1" x14ac:dyDescent="0.25">
      <c r="B35" s="20" t="s">
        <v>30</v>
      </c>
      <c r="C35" s="10">
        <f>+SUM(C27:C28)</f>
        <v>6220174.5629279995</v>
      </c>
      <c r="D35" s="10">
        <f>+SUM(D27:D28)</f>
        <v>195528.18400000001</v>
      </c>
      <c r="E35" s="10">
        <f>+SUM(E27:E28)</f>
        <v>6024646.3789280001</v>
      </c>
      <c r="F35" s="10">
        <f>+SUM(F27:F28)</f>
        <v>548833.46138926758</v>
      </c>
      <c r="G35" s="21">
        <f>+SUM(G27:G28)</f>
        <v>5475812.9175387323</v>
      </c>
    </row>
    <row r="36" spans="1:7" ht="13.5" customHeight="1" x14ac:dyDescent="0.25">
      <c r="B36" s="13" t="s">
        <v>14</v>
      </c>
      <c r="C36" s="22">
        <f>SUM(C31:C35)</f>
        <v>66948481.09198191</v>
      </c>
      <c r="D36" s="94">
        <f>SUM(D31:D35)</f>
        <v>1582428.7519999999</v>
      </c>
      <c r="E36" s="94">
        <f>SUM(E31:E35)</f>
        <v>65366052.339981914</v>
      </c>
      <c r="F36" s="94">
        <f>SUM(F31:F35)</f>
        <v>7414225.1435356494</v>
      </c>
      <c r="G36" s="95">
        <f>SUM(G31:G35)</f>
        <v>57951827.196446262</v>
      </c>
    </row>
    <row r="37" spans="1:7" ht="13.5" customHeight="1" x14ac:dyDescent="0.25"/>
    <row r="38" spans="1:7" ht="13.5" customHeight="1" x14ac:dyDescent="0.25"/>
    <row r="39" spans="1:7" ht="13.5" customHeight="1" x14ac:dyDescent="0.25"/>
    <row r="40" spans="1:7" ht="13.5" customHeight="1" x14ac:dyDescent="0.25"/>
    <row r="41" spans="1:7" ht="13.5" customHeight="1" x14ac:dyDescent="0.25">
      <c r="A41" s="77"/>
      <c r="B41" s="39"/>
      <c r="C41" s="28"/>
      <c r="D41" s="39"/>
    </row>
    <row r="42" spans="1:7" ht="13.5" customHeight="1" x14ac:dyDescent="0.25">
      <c r="A42" s="77"/>
      <c r="B42" s="3"/>
      <c r="C42" s="3"/>
      <c r="D42" s="3"/>
    </row>
    <row r="43" spans="1:7" ht="13.5" customHeight="1" x14ac:dyDescent="0.25">
      <c r="A43" s="77"/>
      <c r="B43" s="3"/>
      <c r="C43" s="3"/>
      <c r="D43" s="3"/>
    </row>
    <row r="44" spans="1:7" ht="13.5" customHeight="1" x14ac:dyDescent="0.25">
      <c r="A44" s="77"/>
      <c r="B44" s="3"/>
      <c r="C44" s="3"/>
      <c r="D44" s="3"/>
    </row>
    <row r="45" spans="1:7" x14ac:dyDescent="0.25">
      <c r="A45" s="77"/>
      <c r="B45" s="3"/>
      <c r="C45" s="3"/>
      <c r="D45" s="3"/>
    </row>
    <row r="46" spans="1:7" x14ac:dyDescent="0.25">
      <c r="A46" s="77"/>
      <c r="B46" s="3"/>
      <c r="C46" s="3"/>
      <c r="D46" s="3"/>
    </row>
  </sheetData>
  <pageMargins left="0.51181102362204722" right="0.43307086614173229" top="0.51181102362204722" bottom="0.19685039370078741" header="0.23622047244094491" footer="0.23622047244094491"/>
  <pageSetup paperSize="9" scale="74" orientation="landscape" cellComments="asDisplayed" horizontalDpi="300" verticalDpi="300" r:id="rId1"/>
  <headerFooter alignWithMargins="0">
    <oddHeader>&amp;CSide &amp;P / &amp;N</oddHeader>
  </headerFooter>
  <ignoredErrors>
    <ignoredError sqref="D31:F3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Normal="100" workbookViewId="0">
      <selection activeCell="D4" sqref="D4"/>
    </sheetView>
  </sheetViews>
  <sheetFormatPr defaultColWidth="9.1796875" defaultRowHeight="11.5" x14ac:dyDescent="0.25"/>
  <cols>
    <col min="1" max="1" width="8.54296875" style="38" customWidth="1"/>
    <col min="2" max="2" width="39.26953125" style="24" customWidth="1"/>
    <col min="3" max="3" width="20.1796875" style="26" customWidth="1"/>
    <col min="4" max="7" width="14.26953125" style="24" customWidth="1"/>
    <col min="8" max="8" width="10.7265625" style="24" bestFit="1" customWidth="1"/>
    <col min="9" max="16384" width="9.1796875" style="24"/>
  </cols>
  <sheetData>
    <row r="1" spans="1:13" ht="15.5" x14ac:dyDescent="0.35">
      <c r="A1" s="72" t="str">
        <f>'Skema1-7_2017'!A1</f>
        <v>Offentliggjort 9. marts 2021</v>
      </c>
    </row>
    <row r="2" spans="1:13" ht="13.5" customHeight="1" x14ac:dyDescent="0.3">
      <c r="A2" s="89" t="s">
        <v>89</v>
      </c>
      <c r="B2" s="39"/>
      <c r="C2" s="28"/>
      <c r="D2" s="38"/>
    </row>
    <row r="3" spans="1:13" ht="13.5" customHeight="1" x14ac:dyDescent="0.3">
      <c r="A3" s="90" t="s">
        <v>37</v>
      </c>
      <c r="B3" s="39"/>
      <c r="C3" s="28"/>
    </row>
    <row r="4" spans="1:13" ht="54" customHeight="1" x14ac:dyDescent="0.25">
      <c r="A4" s="73" t="s">
        <v>6</v>
      </c>
      <c r="B4" s="73" t="s">
        <v>0</v>
      </c>
      <c r="C4" s="12" t="s">
        <v>15</v>
      </c>
      <c r="D4" s="12" t="s">
        <v>16</v>
      </c>
      <c r="E4" s="12" t="s">
        <v>23</v>
      </c>
      <c r="F4" s="12" t="s">
        <v>21</v>
      </c>
      <c r="G4" s="12" t="s">
        <v>22</v>
      </c>
      <c r="I4" s="39"/>
    </row>
    <row r="5" spans="1:13" ht="13.5" customHeight="1" x14ac:dyDescent="0.25">
      <c r="A5" s="74">
        <f>+'(skema1-7_2017 - 17pl)'!A5</f>
        <v>1301</v>
      </c>
      <c r="B5" s="4" t="str">
        <f>+'(skema1-7_2017 - 17pl)'!B5</f>
        <v>Rigshospitalet</v>
      </c>
      <c r="C5" s="96">
        <f>+'Skema1-7_2018'!J5</f>
        <v>9454730.1458932757</v>
      </c>
      <c r="D5" s="82">
        <v>345430.70938269916</v>
      </c>
      <c r="E5" s="82">
        <f>C5-D5</f>
        <v>9109299.4365105759</v>
      </c>
      <c r="F5" s="82">
        <v>1675876.926853888</v>
      </c>
      <c r="G5" s="91">
        <f>E5-F5</f>
        <v>7433422.5096566882</v>
      </c>
      <c r="I5" s="3"/>
      <c r="J5" s="3"/>
      <c r="K5" s="3"/>
      <c r="M5" s="35"/>
    </row>
    <row r="6" spans="1:13" ht="13.5" customHeight="1" x14ac:dyDescent="0.25">
      <c r="A6" s="75">
        <f>+'(skema1-7_2017 - 17pl)'!A6</f>
        <v>1309</v>
      </c>
      <c r="B6" s="7" t="str">
        <f>+'(skema1-7_2017 - 17pl)'!B6</f>
        <v>Bispebjerg og Frederiksberg Hospital</v>
      </c>
      <c r="C6" s="96">
        <f>+'Skema1-7_2018'!J6</f>
        <v>2411990.3066329784</v>
      </c>
      <c r="D6" s="82">
        <v>78487.924705767538</v>
      </c>
      <c r="E6" s="82">
        <f t="shared" ref="E6:E28" si="0">C6-D6</f>
        <v>2333502.3819272108</v>
      </c>
      <c r="F6" s="82">
        <v>119906.13888065597</v>
      </c>
      <c r="G6" s="91">
        <f t="shared" ref="G6:G28" si="1">E6-F6</f>
        <v>2213596.2430465547</v>
      </c>
      <c r="I6" s="3"/>
      <c r="J6" s="3"/>
      <c r="K6" s="3"/>
      <c r="M6" s="35"/>
    </row>
    <row r="7" spans="1:13" ht="13.5" customHeight="1" x14ac:dyDescent="0.25">
      <c r="A7" s="75">
        <f>+'(skema1-7_2017 - 17pl)'!A7</f>
        <v>1330</v>
      </c>
      <c r="B7" s="7" t="str">
        <f>+'(skema1-7_2017 - 17pl)'!B7</f>
        <v>Amager og Hvidovre Hospital</v>
      </c>
      <c r="C7" s="96">
        <f>+'Skema1-7_2018'!J7</f>
        <v>3021768.7877700473</v>
      </c>
      <c r="D7" s="82">
        <v>65955.836339059446</v>
      </c>
      <c r="E7" s="82">
        <f t="shared" si="0"/>
        <v>2955812.951430988</v>
      </c>
      <c r="F7" s="82">
        <v>127190.28449449599</v>
      </c>
      <c r="G7" s="91">
        <f t="shared" si="1"/>
        <v>2828622.6669364921</v>
      </c>
      <c r="I7" s="3"/>
      <c r="J7" s="3"/>
      <c r="K7" s="92"/>
      <c r="M7" s="35"/>
    </row>
    <row r="8" spans="1:13" ht="13.5" customHeight="1" x14ac:dyDescent="0.25">
      <c r="A8" s="75">
        <f>+'(skema1-7_2017 - 17pl)'!A8</f>
        <v>1516</v>
      </c>
      <c r="B8" s="7" t="str">
        <f>+'(skema1-7_2017 - 17pl)'!B8</f>
        <v>Herlev og Gentofte Hospital</v>
      </c>
      <c r="C8" s="96">
        <f>+'Skema1-7_2018'!J8</f>
        <v>5306668.4277217397</v>
      </c>
      <c r="D8" s="82">
        <v>82391.313619820663</v>
      </c>
      <c r="E8" s="82">
        <f t="shared" si="0"/>
        <v>5224277.1141019193</v>
      </c>
      <c r="F8" s="82">
        <v>693895.95464602392</v>
      </c>
      <c r="G8" s="91">
        <f t="shared" si="1"/>
        <v>4530381.1594558954</v>
      </c>
      <c r="I8" s="3"/>
      <c r="J8" s="3"/>
      <c r="K8" s="3"/>
      <c r="M8" s="35"/>
    </row>
    <row r="9" spans="1:13" ht="13.5" customHeight="1" x14ac:dyDescent="0.25">
      <c r="A9" s="75">
        <f>+'(skema1-7_2017 - 17pl)'!A9</f>
        <v>1507</v>
      </c>
      <c r="B9" s="7" t="str">
        <f>+'(skema1-7_2017 - 17pl)'!B9</f>
        <v>Steno Diabetes Center Copenhagen</v>
      </c>
      <c r="C9" s="96">
        <f>+'Skema1-7_2018'!J9</f>
        <v>106806.75449807623</v>
      </c>
      <c r="D9" s="82">
        <v>4136.4544723300596</v>
      </c>
      <c r="E9" s="82">
        <f t="shared" ref="E9" si="2">C9-D9</f>
        <v>102670.30002574617</v>
      </c>
      <c r="F9" s="82">
        <v>470.38159999999999</v>
      </c>
      <c r="G9" s="91">
        <f t="shared" ref="G9" si="3">E9-F9</f>
        <v>102199.91842574617</v>
      </c>
      <c r="I9" s="3"/>
      <c r="J9" s="3"/>
      <c r="K9" s="3"/>
      <c r="M9" s="35"/>
    </row>
    <row r="10" spans="1:13" ht="13.5" customHeight="1" x14ac:dyDescent="0.25">
      <c r="A10" s="75">
        <f>+'(skema1-7_2017 - 17pl)'!A10</f>
        <v>2000</v>
      </c>
      <c r="B10" s="7" t="str">
        <f>+'(skema1-7_2017 - 17pl)'!B10</f>
        <v>Nordsjællands Hospital</v>
      </c>
      <c r="C10" s="96">
        <f>+'Skema1-7_2018'!J10</f>
        <v>2550260.2718998892</v>
      </c>
      <c r="D10" s="82">
        <v>42104.650429941794</v>
      </c>
      <c r="E10" s="82">
        <f t="shared" si="0"/>
        <v>2508155.6214699475</v>
      </c>
      <c r="F10" s="82">
        <v>129576.89552846401</v>
      </c>
      <c r="G10" s="91">
        <f t="shared" si="1"/>
        <v>2378578.7259414834</v>
      </c>
      <c r="I10" s="3"/>
      <c r="J10" s="3"/>
      <c r="K10" s="3"/>
      <c r="M10" s="35"/>
    </row>
    <row r="11" spans="1:13" ht="13.5" customHeight="1" x14ac:dyDescent="0.25">
      <c r="A11" s="75">
        <f>+'(skema1-7_2017 - 17pl)'!A11</f>
        <v>4001</v>
      </c>
      <c r="B11" s="7" t="str">
        <f>+'(skema1-7_2017 - 17pl)'!B11</f>
        <v>Bornholms Hospital</v>
      </c>
      <c r="C11" s="96">
        <f>+'Skema1-7_2018'!J11</f>
        <v>419491.73009856086</v>
      </c>
      <c r="D11" s="82">
        <v>314.34914176457329</v>
      </c>
      <c r="E11" s="82">
        <f t="shared" si="0"/>
        <v>419177.38095679629</v>
      </c>
      <c r="F11" s="82">
        <v>29621.091292360001</v>
      </c>
      <c r="G11" s="91">
        <f t="shared" si="1"/>
        <v>389556.28966443631</v>
      </c>
      <c r="I11" s="3"/>
      <c r="J11" s="3"/>
      <c r="K11" s="3"/>
      <c r="M11" s="35"/>
    </row>
    <row r="12" spans="1:13" ht="13.5" customHeight="1" x14ac:dyDescent="0.25">
      <c r="A12" s="75">
        <f>+'(skema1-7_2017 - 17pl)'!A12</f>
        <v>3810</v>
      </c>
      <c r="B12" s="7" t="str">
        <f>+'(skema1-7_2017 - 17pl)'!B12</f>
        <v>Sjællands Universitetshospital</v>
      </c>
      <c r="C12" s="96">
        <f>+'Skema1-7_2018'!J12</f>
        <v>3792456.8420054843</v>
      </c>
      <c r="D12" s="82">
        <v>48561.245999999999</v>
      </c>
      <c r="E12" s="82">
        <f t="shared" si="0"/>
        <v>3743895.5960054845</v>
      </c>
      <c r="F12" s="82">
        <v>707491.79049660801</v>
      </c>
      <c r="G12" s="91">
        <f t="shared" si="1"/>
        <v>3036403.8055088762</v>
      </c>
      <c r="I12" s="3"/>
      <c r="J12" s="3"/>
      <c r="K12" s="3"/>
      <c r="M12" s="35"/>
    </row>
    <row r="13" spans="1:13" ht="13.5" customHeight="1" x14ac:dyDescent="0.25">
      <c r="A13" s="75">
        <f>+'(skema1-7_2017 - 17pl)'!A13</f>
        <v>3820</v>
      </c>
      <c r="B13" s="7" t="str">
        <f>+'(skema1-7_2017 - 17pl)'!B13</f>
        <v>Holbæk Sygehus</v>
      </c>
      <c r="C13" s="96">
        <f>+'Skema1-7_2018'!J13</f>
        <v>1265918.6495339582</v>
      </c>
      <c r="D13" s="82">
        <v>11649.875</v>
      </c>
      <c r="E13" s="82">
        <f t="shared" si="0"/>
        <v>1254268.7745339582</v>
      </c>
      <c r="F13" s="82">
        <v>58130.9384288</v>
      </c>
      <c r="G13" s="91">
        <f t="shared" si="1"/>
        <v>1196137.8361051581</v>
      </c>
      <c r="I13" s="3"/>
      <c r="J13" s="3"/>
      <c r="K13" s="3"/>
      <c r="M13" s="35"/>
    </row>
    <row r="14" spans="1:13" ht="13.5" customHeight="1" x14ac:dyDescent="0.25">
      <c r="A14" s="75">
        <f>+'(skema1-7_2017 - 17pl)'!A14</f>
        <v>3830</v>
      </c>
      <c r="B14" s="7" t="str">
        <f>+'(skema1-7_2017 - 17pl)'!B14</f>
        <v>Næstved, Slagelse og Ringsted sygehuse</v>
      </c>
      <c r="C14" s="96">
        <f>+'Skema1-7_2018'!J14</f>
        <v>2107921.4664563742</v>
      </c>
      <c r="D14" s="82">
        <v>43464.154000000002</v>
      </c>
      <c r="E14" s="82">
        <f t="shared" si="0"/>
        <v>2064457.3124563741</v>
      </c>
      <c r="F14" s="82">
        <v>70117.233608976007</v>
      </c>
      <c r="G14" s="91">
        <f t="shared" si="1"/>
        <v>1994340.0788473981</v>
      </c>
      <c r="I14" s="3"/>
      <c r="J14" s="3"/>
      <c r="K14" s="3"/>
      <c r="M14" s="35"/>
    </row>
    <row r="15" spans="1:13" ht="13.5" customHeight="1" x14ac:dyDescent="0.25">
      <c r="A15" s="75">
        <f>+'(skema1-7_2017 - 17pl)'!A15</f>
        <v>3840</v>
      </c>
      <c r="B15" s="7" t="str">
        <f>+'(skema1-7_2017 - 17pl)'!B15</f>
        <v>Nykøbing Sygehus</v>
      </c>
      <c r="C15" s="96">
        <f>+'Skema1-7_2018'!J15</f>
        <v>934512.56893377064</v>
      </c>
      <c r="D15" s="82">
        <v>13127.484</v>
      </c>
      <c r="E15" s="82">
        <f t="shared" si="0"/>
        <v>921385.08493377059</v>
      </c>
      <c r="F15" s="82">
        <v>13276.063947904002</v>
      </c>
      <c r="G15" s="91">
        <f t="shared" si="1"/>
        <v>908109.02098586655</v>
      </c>
      <c r="I15" s="3"/>
      <c r="J15" s="3"/>
      <c r="K15" s="3"/>
      <c r="M15" s="35"/>
    </row>
    <row r="16" spans="1:13" ht="13.5" customHeight="1" x14ac:dyDescent="0.25">
      <c r="A16" s="75">
        <f>+'(skema1-7_2017 - 17pl)'!A16</f>
        <v>4202</v>
      </c>
      <c r="B16" s="7" t="str">
        <f>+'(skema1-7_2017 - 17pl)'!B16</f>
        <v>Odense Universitetshospital</v>
      </c>
      <c r="C16" s="96">
        <f>+'Skema1-7_2018'!J16</f>
        <v>7168912.3719999995</v>
      </c>
      <c r="D16" s="82">
        <v>195133</v>
      </c>
      <c r="E16" s="82">
        <f t="shared" si="0"/>
        <v>6973779.3719999995</v>
      </c>
      <c r="F16" s="82">
        <v>961069.28514944809</v>
      </c>
      <c r="G16" s="91">
        <f t="shared" si="1"/>
        <v>6012710.0868505519</v>
      </c>
      <c r="I16" s="3"/>
      <c r="J16" s="3"/>
      <c r="K16" s="3"/>
      <c r="M16" s="35"/>
    </row>
    <row r="17" spans="1:13" ht="13.5" customHeight="1" x14ac:dyDescent="0.25">
      <c r="A17" s="75">
        <f>+'(skema1-7_2017 - 17pl)'!A17</f>
        <v>5000</v>
      </c>
      <c r="B17" s="7" t="str">
        <f>+'(skema1-7_2017 - 17pl)'!B17</f>
        <v>Sygehus Sønderjylland</v>
      </c>
      <c r="C17" s="96">
        <f>+'Skema1-7_2018'!J17</f>
        <v>1880878</v>
      </c>
      <c r="D17" s="82">
        <v>11923</v>
      </c>
      <c r="E17" s="82">
        <f t="shared" si="0"/>
        <v>1868955</v>
      </c>
      <c r="F17" s="82">
        <v>152028.01596260798</v>
      </c>
      <c r="G17" s="91">
        <f t="shared" si="1"/>
        <v>1716926.9840373921</v>
      </c>
      <c r="I17" s="3"/>
      <c r="J17" s="3"/>
      <c r="K17" s="3"/>
      <c r="M17" s="35"/>
    </row>
    <row r="18" spans="1:13" ht="13.5" customHeight="1" x14ac:dyDescent="0.25">
      <c r="A18" s="75">
        <f>+'(skema1-7_2017 - 17pl)'!A18</f>
        <v>5501</v>
      </c>
      <c r="B18" s="7" t="str">
        <f>+'(skema1-7_2017 - 17pl)'!B18</f>
        <v>Sydvestjysk Sygehus</v>
      </c>
      <c r="C18" s="96">
        <f>+'Skema1-7_2018'!J18</f>
        <v>1877511</v>
      </c>
      <c r="D18" s="82">
        <v>15574</v>
      </c>
      <c r="E18" s="82">
        <f t="shared" si="0"/>
        <v>1861937</v>
      </c>
      <c r="F18" s="82">
        <v>175360.95698295199</v>
      </c>
      <c r="G18" s="91">
        <f t="shared" si="1"/>
        <v>1686576.0430170479</v>
      </c>
      <c r="I18" s="3"/>
      <c r="J18" s="3"/>
      <c r="K18" s="3"/>
      <c r="M18" s="35"/>
    </row>
    <row r="19" spans="1:13" ht="13.5" customHeight="1" x14ac:dyDescent="0.25">
      <c r="A19" s="75">
        <f>+'(skema1-7_2017 - 17pl)'!A19</f>
        <v>6007</v>
      </c>
      <c r="B19" s="7" t="str">
        <f>+'(skema1-7_2017 - 17pl)'!B19</f>
        <v>Fredericia og Kolding sygehuse</v>
      </c>
      <c r="C19" s="96">
        <f>+'Skema1-7_2018'!J19</f>
        <v>1569018.3392678434</v>
      </c>
      <c r="D19" s="82">
        <v>33572.699999999997</v>
      </c>
      <c r="E19" s="82">
        <f t="shared" si="0"/>
        <v>1535445.6392678434</v>
      </c>
      <c r="F19" s="82">
        <v>122840.09246264001</v>
      </c>
      <c r="G19" s="91">
        <f t="shared" si="1"/>
        <v>1412605.5468052034</v>
      </c>
      <c r="I19" s="3"/>
      <c r="J19" s="3"/>
      <c r="K19" s="3"/>
      <c r="M19" s="35"/>
    </row>
    <row r="20" spans="1:13" ht="13.5" customHeight="1" x14ac:dyDescent="0.25">
      <c r="A20" s="75">
        <f>+'(skema1-7_2017 - 17pl)'!A20</f>
        <v>6008</v>
      </c>
      <c r="B20" s="7" t="str">
        <f>+'(skema1-7_2017 - 17pl)'!B20</f>
        <v>Vejle-Give-Middelfart sygehuse</v>
      </c>
      <c r="C20" s="96">
        <f>+'Skema1-7_2018'!J20</f>
        <v>1894381.9951799633</v>
      </c>
      <c r="D20" s="82">
        <v>78336.299999999988</v>
      </c>
      <c r="E20" s="82">
        <f t="shared" si="0"/>
        <v>1816045.6951799633</v>
      </c>
      <c r="F20" s="82">
        <v>395972.01519999997</v>
      </c>
      <c r="G20" s="91">
        <f t="shared" si="1"/>
        <v>1420073.6799799632</v>
      </c>
      <c r="I20" s="3"/>
      <c r="J20" s="3"/>
      <c r="K20" s="3"/>
      <c r="M20" s="35"/>
    </row>
    <row r="21" spans="1:13" ht="13.5" customHeight="1" x14ac:dyDescent="0.25">
      <c r="A21" s="75">
        <f>+'(skema1-7_2017 - 17pl)'!A21</f>
        <v>6013</v>
      </c>
      <c r="B21" s="7" t="str">
        <f>+'(skema1-7_2017 - 17pl)'!B21</f>
        <v>De Vestdanske Friklinikker, Give</v>
      </c>
      <c r="C21" s="96">
        <f>+'Skema1-7_2018'!J21</f>
        <v>68519</v>
      </c>
      <c r="D21" s="82">
        <v>0</v>
      </c>
      <c r="E21" s="82">
        <f t="shared" si="0"/>
        <v>68519</v>
      </c>
      <c r="F21" s="82">
        <v>486.336546</v>
      </c>
      <c r="G21" s="91">
        <f t="shared" si="1"/>
        <v>68032.663453999994</v>
      </c>
      <c r="I21" s="3"/>
      <c r="J21" s="3"/>
      <c r="K21" s="3"/>
      <c r="M21" s="35"/>
    </row>
    <row r="22" spans="1:13" ht="13.5" customHeight="1" x14ac:dyDescent="0.25">
      <c r="A22" s="75">
        <f>+'(skema1-7_2017 - 17pl)'!A22</f>
        <v>6006</v>
      </c>
      <c r="B22" s="7" t="str">
        <f>+'(skema1-7_2017 - 17pl)'!B22</f>
        <v>Hospitalenheden Horsens</v>
      </c>
      <c r="C22" s="96">
        <f>+'Skema1-7_2018'!J22</f>
        <v>1078214.0747400001</v>
      </c>
      <c r="D22" s="82">
        <v>4372</v>
      </c>
      <c r="E22" s="82">
        <f t="shared" si="0"/>
        <v>1073842.0747400001</v>
      </c>
      <c r="F22" s="82">
        <v>34226.584043632</v>
      </c>
      <c r="G22" s="91">
        <f t="shared" si="1"/>
        <v>1039615.490696368</v>
      </c>
      <c r="I22" s="3"/>
      <c r="J22" s="3"/>
      <c r="K22" s="3"/>
      <c r="M22" s="35"/>
    </row>
    <row r="23" spans="1:13" ht="13.5" customHeight="1" x14ac:dyDescent="0.25">
      <c r="A23" s="75">
        <f>+'(skema1-7_2017 - 17pl)'!A23</f>
        <v>6650</v>
      </c>
      <c r="B23" s="7" t="str">
        <f>+'(skema1-7_2017 - 17pl)'!B23</f>
        <v>Hospitalsenheden Vest</v>
      </c>
      <c r="C23" s="96">
        <f>+'Skema1-7_2018'!J23</f>
        <v>2429085</v>
      </c>
      <c r="D23" s="82">
        <v>41437</v>
      </c>
      <c r="E23" s="82">
        <f t="shared" si="0"/>
        <v>2387648</v>
      </c>
      <c r="F23" s="82">
        <v>290457.37407479994</v>
      </c>
      <c r="G23" s="91">
        <f t="shared" si="1"/>
        <v>2097190.6259252001</v>
      </c>
      <c r="I23" s="3"/>
      <c r="J23" s="3"/>
      <c r="K23" s="3"/>
      <c r="M23" s="35"/>
    </row>
    <row r="24" spans="1:13" ht="13.5" customHeight="1" x14ac:dyDescent="0.25">
      <c r="A24" s="75">
        <f>+'(skema1-7_2017 - 17pl)'!A24</f>
        <v>6620</v>
      </c>
      <c r="B24" s="7" t="str">
        <f>+'(skema1-7_2017 - 17pl)'!B24</f>
        <v>Aarhus Universitetshospital</v>
      </c>
      <c r="C24" s="96">
        <f>+'Skema1-7_2018'!J24</f>
        <v>7599242</v>
      </c>
      <c r="D24" s="82">
        <v>257400</v>
      </c>
      <c r="E24" s="82">
        <f t="shared" si="0"/>
        <v>7341842</v>
      </c>
      <c r="F24" s="82">
        <v>1412581.7463719118</v>
      </c>
      <c r="G24" s="91">
        <f t="shared" si="1"/>
        <v>5929260.2536280882</v>
      </c>
      <c r="I24" s="3"/>
      <c r="J24" s="3"/>
      <c r="K24" s="3"/>
      <c r="M24" s="35"/>
    </row>
    <row r="25" spans="1:13" ht="13.5" customHeight="1" x14ac:dyDescent="0.25">
      <c r="A25" s="75">
        <f>+'(skema1-7_2017 - 17pl)'!A25</f>
        <v>7005</v>
      </c>
      <c r="B25" s="7" t="str">
        <f>+'(skema1-7_2017 - 17pl)'!B25</f>
        <v>Regionshospitalet Randers</v>
      </c>
      <c r="C25" s="96">
        <f>+'Skema1-7_2018'!J25</f>
        <v>1201586</v>
      </c>
      <c r="D25" s="82">
        <v>10667</v>
      </c>
      <c r="E25" s="82">
        <f t="shared" si="0"/>
        <v>1190919</v>
      </c>
      <c r="F25" s="82">
        <v>34528.587763039999</v>
      </c>
      <c r="G25" s="91">
        <f t="shared" si="1"/>
        <v>1156390.4122369599</v>
      </c>
      <c r="I25" s="3"/>
      <c r="J25" s="3"/>
      <c r="K25" s="3"/>
      <c r="M25" s="35"/>
    </row>
    <row r="26" spans="1:13" ht="13.5" customHeight="1" x14ac:dyDescent="0.25">
      <c r="A26" s="75">
        <f>+'(skema1-7_2017 - 17pl)'!A26</f>
        <v>6630</v>
      </c>
      <c r="B26" s="7" t="str">
        <f>+'(skema1-7_2017 - 17pl)'!B26</f>
        <v>Hospitalsenhed Midt</v>
      </c>
      <c r="C26" s="96">
        <f>+'Skema1-7_2018'!J26</f>
        <v>2568640</v>
      </c>
      <c r="D26" s="82">
        <v>35255</v>
      </c>
      <c r="E26" s="82">
        <f t="shared" si="0"/>
        <v>2533385</v>
      </c>
      <c r="F26" s="82">
        <v>146699.63710025602</v>
      </c>
      <c r="G26" s="91">
        <f t="shared" si="1"/>
        <v>2386685.362899744</v>
      </c>
      <c r="I26" s="3"/>
      <c r="J26" s="3"/>
      <c r="K26" s="3"/>
      <c r="M26" s="35"/>
    </row>
    <row r="27" spans="1:13" ht="13.5" customHeight="1" x14ac:dyDescent="0.25">
      <c r="A27" s="75">
        <f>+'(skema1-7_2017 - 17pl)'!A27</f>
        <v>8001</v>
      </c>
      <c r="B27" s="7" t="str">
        <f>+'(skema1-7_2017 - 17pl)'!B27</f>
        <v>Aalborg Universitetshospital</v>
      </c>
      <c r="C27" s="96">
        <f>+'Skema1-7_2018'!J27</f>
        <v>5185756.8109999998</v>
      </c>
      <c r="D27" s="82">
        <v>184634</v>
      </c>
      <c r="E27" s="82">
        <f t="shared" si="0"/>
        <v>5001122.8109999998</v>
      </c>
      <c r="F27" s="82">
        <v>549469.51899999997</v>
      </c>
      <c r="G27" s="91">
        <f t="shared" si="1"/>
        <v>4451653.2919999994</v>
      </c>
      <c r="I27" s="3"/>
      <c r="J27" s="3"/>
      <c r="K27" s="3"/>
      <c r="M27" s="35"/>
    </row>
    <row r="28" spans="1:13" ht="13.5" customHeight="1" x14ac:dyDescent="0.25">
      <c r="A28" s="75">
        <f>+'(skema1-7_2017 - 17pl)'!A28</f>
        <v>8003</v>
      </c>
      <c r="B28" s="7" t="str">
        <f>+'(skema1-7_2017 - 17pl)'!B28</f>
        <v>Regionshospitalet Nordjylland</v>
      </c>
      <c r="C28" s="96">
        <f>+'Skema1-7_2018'!J28</f>
        <v>1087004.997</v>
      </c>
      <c r="D28" s="82">
        <v>7571</v>
      </c>
      <c r="E28" s="82">
        <f t="shared" si="0"/>
        <v>1079433.997</v>
      </c>
      <c r="F28" s="82">
        <v>34093.508000000002</v>
      </c>
      <c r="G28" s="91">
        <f t="shared" si="1"/>
        <v>1045340.4889999999</v>
      </c>
      <c r="I28" s="3"/>
      <c r="J28" s="3"/>
      <c r="K28" s="3"/>
      <c r="M28" s="35"/>
    </row>
    <row r="29" spans="1:13" ht="13.5" customHeight="1" x14ac:dyDescent="0.25">
      <c r="A29" s="13"/>
      <c r="B29" s="13" t="s">
        <v>14</v>
      </c>
      <c r="C29" s="83">
        <f>SUM(C5:C28)</f>
        <v>66981275.540631965</v>
      </c>
      <c r="D29" s="83">
        <f>SUM(D5:D28)</f>
        <v>1611498.9970913832</v>
      </c>
      <c r="E29" s="83">
        <f>SUM(E5:E28)</f>
        <v>65369776.543540575</v>
      </c>
      <c r="F29" s="83">
        <f>SUM(F5:F28)</f>
        <v>7935367.358435465</v>
      </c>
      <c r="G29" s="93">
        <f>SUM(G5:G28)</f>
        <v>57434409.185105108</v>
      </c>
      <c r="I29" s="3"/>
      <c r="J29" s="3"/>
      <c r="K29" s="3"/>
    </row>
    <row r="30" spans="1:13" ht="13.5" customHeight="1" x14ac:dyDescent="0.25">
      <c r="I30" s="39"/>
      <c r="J30" s="3"/>
      <c r="K30" s="3"/>
    </row>
    <row r="31" spans="1:13" ht="13.5" customHeight="1" x14ac:dyDescent="0.25">
      <c r="B31" s="17" t="s">
        <v>26</v>
      </c>
      <c r="C31" s="18">
        <f>SUM(C5:C11)</f>
        <v>23271716.424514569</v>
      </c>
      <c r="D31" s="18">
        <f>SUM(D5:D11)</f>
        <v>618821.23809138325</v>
      </c>
      <c r="E31" s="18">
        <f>SUM(E5:E11)</f>
        <v>22652895.186423182</v>
      </c>
      <c r="F31" s="18">
        <f>SUM(F5:F11)</f>
        <v>2776537.6732958877</v>
      </c>
      <c r="G31" s="6">
        <f>SUM(G5:G11)</f>
        <v>19876357.513127297</v>
      </c>
      <c r="I31" s="39"/>
    </row>
    <row r="32" spans="1:13" ht="13.5" customHeight="1" x14ac:dyDescent="0.25">
      <c r="B32" s="19" t="s">
        <v>27</v>
      </c>
      <c r="C32" s="5">
        <f>SUM(C12:C15)</f>
        <v>8100809.5269295881</v>
      </c>
      <c r="D32" s="5">
        <f>SUM(D12:D15)</f>
        <v>116802.75899999999</v>
      </c>
      <c r="E32" s="5">
        <f>SUM(E12:E15)</f>
        <v>7984006.7679295875</v>
      </c>
      <c r="F32" s="5">
        <f>SUM(F12:F15)</f>
        <v>849016.02648228803</v>
      </c>
      <c r="G32" s="8">
        <f>SUM(G12:G15)</f>
        <v>7134990.7414472997</v>
      </c>
    </row>
    <row r="33" spans="1:8" ht="13.5" customHeight="1" x14ac:dyDescent="0.25">
      <c r="B33" s="19" t="s">
        <v>28</v>
      </c>
      <c r="C33" s="5">
        <f>SUM(C16:C21)</f>
        <v>14459220.706447806</v>
      </c>
      <c r="D33" s="5">
        <f>SUM(D16:D21)</f>
        <v>334539</v>
      </c>
      <c r="E33" s="5">
        <f>SUM(E16:E21)</f>
        <v>14124681.706447806</v>
      </c>
      <c r="F33" s="5">
        <f>SUM(F16:F21)</f>
        <v>1807756.7023036482</v>
      </c>
      <c r="G33" s="8">
        <f>SUM(G16:G21)</f>
        <v>12316925.004144158</v>
      </c>
    </row>
    <row r="34" spans="1:8" ht="13.5" customHeight="1" x14ac:dyDescent="0.25">
      <c r="B34" s="19" t="s">
        <v>29</v>
      </c>
      <c r="C34" s="5">
        <f>SUM(C22:C26)</f>
        <v>14876767.07474</v>
      </c>
      <c r="D34" s="5">
        <f>SUM(D22:D26)</f>
        <v>349131</v>
      </c>
      <c r="E34" s="5">
        <f>SUM(E22:E26)</f>
        <v>14527636.07474</v>
      </c>
      <c r="F34" s="5">
        <f>SUM(F22:F26)</f>
        <v>1918493.9293536399</v>
      </c>
      <c r="G34" s="8">
        <f>SUM(G22:G26)</f>
        <v>12609142.145386361</v>
      </c>
    </row>
    <row r="35" spans="1:8" ht="13.5" customHeight="1" x14ac:dyDescent="0.25">
      <c r="B35" s="20" t="s">
        <v>30</v>
      </c>
      <c r="C35" s="10">
        <f>+SUM(C27:C28)</f>
        <v>6272761.8080000002</v>
      </c>
      <c r="D35" s="10">
        <f>+SUM(D27:D28)</f>
        <v>192205</v>
      </c>
      <c r="E35" s="10">
        <f>+SUM(E27:E28)</f>
        <v>6080556.8080000002</v>
      </c>
      <c r="F35" s="10">
        <f>+SUM(F27:F28)</f>
        <v>583563.027</v>
      </c>
      <c r="G35" s="21">
        <f>+SUM(G27:G28)</f>
        <v>5496993.7809999995</v>
      </c>
    </row>
    <row r="36" spans="1:8" ht="13.5" customHeight="1" x14ac:dyDescent="0.25">
      <c r="B36" s="13" t="s">
        <v>14</v>
      </c>
      <c r="C36" s="22">
        <f>SUM(C31:C35)</f>
        <v>66981275.540631957</v>
      </c>
      <c r="D36" s="94">
        <f>SUM(D31:D35)</f>
        <v>1611498.9970913832</v>
      </c>
      <c r="E36" s="94">
        <f>SUM(E31:E35)</f>
        <v>65369776.543540575</v>
      </c>
      <c r="F36" s="94">
        <f>SUM(F31:F35)</f>
        <v>7935367.3584354641</v>
      </c>
      <c r="G36" s="95">
        <f>SUM(G31:G35)</f>
        <v>57434409.185105115</v>
      </c>
    </row>
    <row r="37" spans="1:8" ht="13.5" customHeight="1" x14ac:dyDescent="0.25"/>
    <row r="38" spans="1:8" ht="13.5" customHeight="1" x14ac:dyDescent="0.25">
      <c r="F38" s="154"/>
      <c r="G38" s="154"/>
      <c r="H38" s="154"/>
    </row>
    <row r="39" spans="1:8" ht="13.5" customHeight="1" x14ac:dyDescent="0.25">
      <c r="F39" s="154"/>
      <c r="G39" s="154"/>
      <c r="H39" s="154"/>
    </row>
    <row r="40" spans="1:8" ht="13.5" customHeight="1" x14ac:dyDescent="0.25">
      <c r="F40" s="154"/>
      <c r="G40" s="154"/>
      <c r="H40" s="154"/>
    </row>
    <row r="41" spans="1:8" ht="13.5" customHeight="1" x14ac:dyDescent="0.25">
      <c r="A41" s="77"/>
      <c r="B41" s="39"/>
      <c r="C41" s="28"/>
      <c r="D41" s="39"/>
      <c r="F41" s="154"/>
      <c r="G41" s="154"/>
      <c r="H41" s="154"/>
    </row>
    <row r="42" spans="1:8" ht="13.5" customHeight="1" x14ac:dyDescent="0.25">
      <c r="A42" s="77"/>
      <c r="B42" s="3"/>
      <c r="C42" s="3"/>
      <c r="D42" s="3"/>
      <c r="F42" s="154"/>
      <c r="G42" s="154"/>
      <c r="H42" s="154"/>
    </row>
    <row r="43" spans="1:8" ht="13.5" customHeight="1" x14ac:dyDescent="0.25">
      <c r="A43" s="77"/>
      <c r="B43" s="3"/>
      <c r="C43" s="3"/>
      <c r="D43" s="3"/>
      <c r="F43" s="154"/>
      <c r="G43" s="154"/>
      <c r="H43" s="154"/>
    </row>
    <row r="44" spans="1:8" ht="13.5" customHeight="1" x14ac:dyDescent="0.25">
      <c r="A44" s="77"/>
      <c r="B44" s="3"/>
      <c r="C44" s="3"/>
      <c r="D44" s="3"/>
    </row>
    <row r="45" spans="1:8" x14ac:dyDescent="0.25">
      <c r="A45" s="77"/>
      <c r="B45" s="3"/>
      <c r="C45" s="3"/>
      <c r="D45" s="3"/>
    </row>
    <row r="46" spans="1:8" x14ac:dyDescent="0.25">
      <c r="A46" s="77"/>
      <c r="B46" s="3"/>
      <c r="C46" s="3"/>
      <c r="D46" s="3"/>
    </row>
  </sheetData>
  <phoneticPr fontId="5" type="noConversion"/>
  <pageMargins left="0.51181102362204722" right="0.43307086614173229" top="0.51181102362204722" bottom="0.19685039370078741" header="0.23622047244094491" footer="0.23622047244094491"/>
  <pageSetup paperSize="9" scale="75" orientation="landscape" cellComments="asDisplayed" horizontalDpi="300" verticalDpi="300" r:id="rId1"/>
  <headerFooter alignWithMargins="0">
    <oddHeader>&amp;CSide &amp;P / &amp;N</oddHeader>
  </headerFooter>
  <ignoredErrors>
    <ignoredError sqref="D31:F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Normal="100" workbookViewId="0">
      <selection activeCell="B9" sqref="B9"/>
    </sheetView>
  </sheetViews>
  <sheetFormatPr defaultColWidth="9.1796875" defaultRowHeight="11.5" x14ac:dyDescent="0.25"/>
  <cols>
    <col min="1" max="1" width="8.54296875" style="38" customWidth="1"/>
    <col min="2" max="2" width="39.26953125" style="24" customWidth="1"/>
    <col min="3" max="3" width="20.1796875" style="26" customWidth="1"/>
    <col min="4" max="7" width="14.26953125" style="24" customWidth="1"/>
    <col min="8" max="16384" width="9.1796875" style="24"/>
  </cols>
  <sheetData>
    <row r="1" spans="1:7" ht="15.5" x14ac:dyDescent="0.35">
      <c r="A1" s="72" t="str">
        <f>'Skema1-7_2017'!A1</f>
        <v>Offentliggjort 9. marts 2021</v>
      </c>
    </row>
    <row r="2" spans="1:7" ht="13.5" customHeight="1" x14ac:dyDescent="0.3">
      <c r="A2" s="89" t="s">
        <v>90</v>
      </c>
      <c r="B2" s="39"/>
      <c r="C2" s="28"/>
      <c r="D2" s="38"/>
    </row>
    <row r="3" spans="1:7" ht="13.5" customHeight="1" x14ac:dyDescent="0.3">
      <c r="A3" s="90" t="s">
        <v>43</v>
      </c>
      <c r="B3" s="39"/>
      <c r="C3" s="28"/>
    </row>
    <row r="4" spans="1:7" ht="54" customHeight="1" x14ac:dyDescent="0.25">
      <c r="A4" s="73" t="s">
        <v>6</v>
      </c>
      <c r="B4" s="73" t="s">
        <v>0</v>
      </c>
      <c r="C4" s="12" t="s">
        <v>15</v>
      </c>
      <c r="D4" s="12" t="s">
        <v>16</v>
      </c>
      <c r="E4" s="12" t="s">
        <v>23</v>
      </c>
      <c r="F4" s="12" t="s">
        <v>21</v>
      </c>
      <c r="G4" s="12" t="s">
        <v>22</v>
      </c>
    </row>
    <row r="5" spans="1:7" ht="13.5" customHeight="1" x14ac:dyDescent="0.25">
      <c r="A5" s="74">
        <f>+'(skema1-7_2017 - 17pl)'!A5</f>
        <v>1301</v>
      </c>
      <c r="B5" s="4" t="str">
        <f>+'(skema1-7_2017 - 17pl)'!B5</f>
        <v>Rigshospitalet</v>
      </c>
      <c r="C5" s="96">
        <f>IF(DTD_17!C5=0,"-",DTD_18!C5/DTD_17!C5*100-100)</f>
        <v>0.39616949726332962</v>
      </c>
      <c r="D5" s="97">
        <f>IF(DTD_17!D5=0,"-",DTD_18!D5/DTD_17!D5*100-100)</f>
        <v>9.4809355370612849</v>
      </c>
      <c r="E5" s="82">
        <f>IF(DTD_17!E5=0,"-",DTD_18!E5/DTD_17!E5*100-100)</f>
        <v>8.1246830069204634E-2</v>
      </c>
      <c r="F5" s="82">
        <f>IF(DTD_17!F5=0,"-",DTD_18!F5/DTD_17!F5*100-100)</f>
        <v>8.4623958335780429</v>
      </c>
      <c r="G5" s="91">
        <f>IF(DTD_17!G5=0,"-",DTD_18!G5/DTD_17!G5*100-100)</f>
        <v>-1.6324326755678698</v>
      </c>
    </row>
    <row r="6" spans="1:7" ht="13.5" customHeight="1" x14ac:dyDescent="0.25">
      <c r="A6" s="75">
        <f>+'(skema1-7_2017 - 17pl)'!A6</f>
        <v>1309</v>
      </c>
      <c r="B6" s="7" t="str">
        <f>+'(skema1-7_2017 - 17pl)'!B6</f>
        <v>Bispebjerg og Frederiksberg Hospital</v>
      </c>
      <c r="C6" s="96">
        <f>IF(DTD_17!C6=0,"-",DTD_18!C6/DTD_17!C6*100-100)</f>
        <v>-0.59407207166977116</v>
      </c>
      <c r="D6" s="97">
        <f>IF(DTD_17!D6=0,"-",DTD_18!D6/DTD_17!D6*100-100)</f>
        <v>2.2296695587233728</v>
      </c>
      <c r="E6" s="82">
        <f>IF(DTD_17!E6=0,"-",DTD_18!E6/DTD_17!E6*100-100)</f>
        <v>-0.68634017295262595</v>
      </c>
      <c r="F6" s="82">
        <f>IF(DTD_17!F6=0,"-",DTD_18!F6/DTD_17!F6*100-100)</f>
        <v>9.2048312292973549</v>
      </c>
      <c r="G6" s="91">
        <f>IF(DTD_17!G6=0,"-",DTD_18!G6/DTD_17!G6*100-100)</f>
        <v>-1.1712180037269917</v>
      </c>
    </row>
    <row r="7" spans="1:7" ht="13.5" customHeight="1" x14ac:dyDescent="0.25">
      <c r="A7" s="75">
        <f>+'(skema1-7_2017 - 17pl)'!A7</f>
        <v>1330</v>
      </c>
      <c r="B7" s="7" t="str">
        <f>+'(skema1-7_2017 - 17pl)'!B7</f>
        <v>Amager og Hvidovre Hospital</v>
      </c>
      <c r="C7" s="96">
        <f>IF(DTD_17!C7=0,"-",DTD_18!C7/DTD_17!C7*100-100)</f>
        <v>-1.3538945711901675</v>
      </c>
      <c r="D7" s="97">
        <f>IF(DTD_17!D7=0,"-",DTD_18!D7/DTD_17!D7*100-100)</f>
        <v>13.931732306714323</v>
      </c>
      <c r="E7" s="82">
        <f>IF(DTD_17!E7=0,"-",DTD_18!E7/DTD_17!E7*100-100)</f>
        <v>-1.6483344000130842</v>
      </c>
      <c r="F7" s="82">
        <f>IF(DTD_17!F7=0,"-",DTD_18!F7/DTD_17!F7*100-100)</f>
        <v>-11.139299504438</v>
      </c>
      <c r="G7" s="91">
        <f>IF(DTD_17!G7=0,"-",DTD_18!G7/DTD_17!G7*100-100)</f>
        <v>-1.1737078075925211</v>
      </c>
    </row>
    <row r="8" spans="1:7" ht="13.5" customHeight="1" x14ac:dyDescent="0.25">
      <c r="A8" s="75">
        <f>+'(skema1-7_2017 - 17pl)'!A8</f>
        <v>1516</v>
      </c>
      <c r="B8" s="7" t="str">
        <f>+'(skema1-7_2017 - 17pl)'!B8</f>
        <v>Herlev og Gentofte Hospital</v>
      </c>
      <c r="C8" s="96">
        <f>IF(DTD_17!C8=0,"-",DTD_18!C8/DTD_17!C8*100-100)</f>
        <v>0.77027280619492444</v>
      </c>
      <c r="D8" s="97">
        <f>IF(DTD_17!D8=0,"-",DTD_18!D8/DTD_17!D8*100-100)</f>
        <v>11.207762671841735</v>
      </c>
      <c r="E8" s="82">
        <f>IF(DTD_17!E8=0,"-",DTD_18!E8/DTD_17!E8*100-100)</f>
        <v>0.62133455223285239</v>
      </c>
      <c r="F8" s="82">
        <f>IF(DTD_17!F8=0,"-",DTD_18!F8/DTD_17!F8*100-100)</f>
        <v>12.419063925677747</v>
      </c>
      <c r="G8" s="91">
        <f>IF(DTD_17!G8=0,"-",DTD_18!G8/DTD_17!G8*100-100)</f>
        <v>-0.97044494242118162</v>
      </c>
    </row>
    <row r="9" spans="1:7" ht="13.5" customHeight="1" x14ac:dyDescent="0.25">
      <c r="A9" s="75">
        <f>+'(skema1-7_2017 - 17pl)'!A9</f>
        <v>1507</v>
      </c>
      <c r="B9" s="7" t="str">
        <f>+'(skema1-7_2017 - 17pl)'!B9</f>
        <v>Steno Diabetes Center Copenhagen</v>
      </c>
      <c r="C9" s="96">
        <f>IF(DTD_17!C9=0,"-",DTD_18!C9/DTD_17!C9*100-100)</f>
        <v>45.689079302340986</v>
      </c>
      <c r="D9" s="97">
        <f>IF(DTD_17!D9=0,"-",DTD_18!D9/DTD_17!D9*100-100)</f>
        <v>4600.5164458296131</v>
      </c>
      <c r="E9" s="82">
        <f>IF(DTD_17!E9=0,"-",DTD_18!E9/DTD_17!E9*100-100)</f>
        <v>40.215083048019721</v>
      </c>
      <c r="F9" s="82">
        <f>IF(DTD_17!F9=0,"-",DTD_18!F9/DTD_17!F9*100-100)</f>
        <v>91.252778380543958</v>
      </c>
      <c r="G9" s="91">
        <f>IF(DTD_17!G9=0,"-",DTD_18!G9/DTD_17!G9*100-100)</f>
        <v>40.043076602565975</v>
      </c>
    </row>
    <row r="10" spans="1:7" ht="13.5" customHeight="1" x14ac:dyDescent="0.25">
      <c r="A10" s="75">
        <f>+'(skema1-7_2017 - 17pl)'!A10</f>
        <v>2000</v>
      </c>
      <c r="B10" s="7" t="str">
        <f>+'(skema1-7_2017 - 17pl)'!B10</f>
        <v>Nordsjællands Hospital</v>
      </c>
      <c r="C10" s="96">
        <f>IF(DTD_17!C10=0,"-",DTD_18!C10/DTD_17!C10*100-100)</f>
        <v>1.27397801400258</v>
      </c>
      <c r="D10" s="97">
        <f>IF(DTD_17!D10=0,"-",DTD_18!D10/DTD_17!D10*100-100)</f>
        <v>22.214117399039623</v>
      </c>
      <c r="E10" s="82">
        <f>IF(DTD_17!E10=0,"-",DTD_18!E10/DTD_17!E10*100-100)</f>
        <v>0.98351938614828782</v>
      </c>
      <c r="F10" s="82">
        <f>IF(DTD_17!F10=0,"-",DTD_18!F10/DTD_17!F10*100-100)</f>
        <v>5.7870508248698513</v>
      </c>
      <c r="G10" s="91">
        <f>IF(DTD_17!G10=0,"-",DTD_18!G10/DTD_17!G10*100-100)</f>
        <v>0.73433793854454166</v>
      </c>
    </row>
    <row r="11" spans="1:7" ht="13.5" customHeight="1" x14ac:dyDescent="0.25">
      <c r="A11" s="75">
        <f>+'(skema1-7_2017 - 17pl)'!A11</f>
        <v>4001</v>
      </c>
      <c r="B11" s="7" t="str">
        <f>+'(skema1-7_2017 - 17pl)'!B11</f>
        <v>Bornholms Hospital</v>
      </c>
      <c r="C11" s="96">
        <f>IF(DTD_17!C11=0,"-",DTD_18!C11/DTD_17!C11*100-100)</f>
        <v>-2.448054409200779</v>
      </c>
      <c r="D11" s="97" t="str">
        <f>IF(DTD_17!D11=0,"-",DTD_18!D11/DTD_17!D11*100-100)</f>
        <v>-</v>
      </c>
      <c r="E11" s="82">
        <f>IF(DTD_17!E11=0,"-",DTD_18!E11/DTD_17!E11*100-100)</f>
        <v>-2.5211556604858174</v>
      </c>
      <c r="F11" s="82">
        <f>IF(DTD_17!F11=0,"-",DTD_18!F11/DTD_17!F11*100-100)</f>
        <v>8.9253600156949346</v>
      </c>
      <c r="G11" s="91">
        <f>IF(DTD_17!G11=0,"-",DTD_18!G11/DTD_17!G11*100-100)</f>
        <v>-3.2938879509009098</v>
      </c>
    </row>
    <row r="12" spans="1:7" ht="13.5" customHeight="1" x14ac:dyDescent="0.25">
      <c r="A12" s="75">
        <f>+'(skema1-7_2017 - 17pl)'!A12</f>
        <v>3810</v>
      </c>
      <c r="B12" s="7" t="str">
        <f>+'(skema1-7_2017 - 17pl)'!B12</f>
        <v>Sjællands Universitetshospital</v>
      </c>
      <c r="C12" s="96">
        <f>IF(DTD_17!C12=0,"-",DTD_18!C12/DTD_17!C12*100-100)</f>
        <v>-1.5959401817452203</v>
      </c>
      <c r="D12" s="97">
        <f>IF(DTD_17!D12=0,"-",DTD_18!D12/DTD_17!D12*100-100)</f>
        <v>-38.437509539659274</v>
      </c>
      <c r="E12" s="82">
        <f>IF(DTD_17!E12=0,"-",DTD_18!E12/DTD_17!E12*100-100)</f>
        <v>-0.82612706444146511</v>
      </c>
      <c r="F12" s="82">
        <f>IF(DTD_17!F12=0,"-",DTD_18!F12/DTD_17!F12*100-100)</f>
        <v>6.2830078219582361</v>
      </c>
      <c r="G12" s="91">
        <f>IF(DTD_17!G12=0,"-",DTD_18!G12/DTD_17!G12*100-100)</f>
        <v>-2.3480605376207393</v>
      </c>
    </row>
    <row r="13" spans="1:7" ht="13.5" customHeight="1" x14ac:dyDescent="0.25">
      <c r="A13" s="75">
        <f>+'(skema1-7_2017 - 17pl)'!A13</f>
        <v>3820</v>
      </c>
      <c r="B13" s="7" t="str">
        <f>+'(skema1-7_2017 - 17pl)'!B13</f>
        <v>Holbæk Sygehus</v>
      </c>
      <c r="C13" s="96">
        <f>IF(DTD_17!C13=0,"-",DTD_18!C13/DTD_17!C13*100-100)</f>
        <v>-3.5762416410290712</v>
      </c>
      <c r="D13" s="97">
        <f>IF(DTD_17!D13=0,"-",DTD_18!D13/DTD_17!D13*100-100)</f>
        <v>-51.97716462882773</v>
      </c>
      <c r="E13" s="82">
        <f>IF(DTD_17!E13=0,"-",DTD_18!E13/DTD_17!E13*100-100)</f>
        <v>-2.6650593536613343</v>
      </c>
      <c r="F13" s="82">
        <f>IF(DTD_17!F13=0,"-",DTD_18!F13/DTD_17!F13*100-100)</f>
        <v>-0.12220357390390291</v>
      </c>
      <c r="G13" s="91">
        <f>IF(DTD_17!G13=0,"-",DTD_18!G13/DTD_17!G13*100-100)</f>
        <v>-2.7853441193240798</v>
      </c>
    </row>
    <row r="14" spans="1:7" ht="13.5" customHeight="1" x14ac:dyDescent="0.25">
      <c r="A14" s="75">
        <f>+'(skema1-7_2017 - 17pl)'!A14</f>
        <v>3830</v>
      </c>
      <c r="B14" s="7" t="str">
        <f>+'(skema1-7_2017 - 17pl)'!B14</f>
        <v>Næstved, Slagelse og Ringsted sygehuse</v>
      </c>
      <c r="C14" s="96">
        <f>IF(DTD_17!C14=0,"-",DTD_18!C14/DTD_17!C14*100-100)</f>
        <v>-0.54392408400957493</v>
      </c>
      <c r="D14" s="97">
        <f>IF(DTD_17!D14=0,"-",DTD_18!D14/DTD_17!D14*100-100)</f>
        <v>32.064579180249666</v>
      </c>
      <c r="E14" s="82">
        <f>IF(DTD_17!E14=0,"-",DTD_18!E14/DTD_17!E14*100-100)</f>
        <v>-1.0582629788585081</v>
      </c>
      <c r="F14" s="82">
        <f>IF(DTD_17!F14=0,"-",DTD_18!F14/DTD_17!F14*100-100)</f>
        <v>-3.1964397306585113</v>
      </c>
      <c r="G14" s="91">
        <f>IF(DTD_17!G14=0,"-",DTD_18!G14/DTD_17!G14*100-100)</f>
        <v>-0.98136857246757359</v>
      </c>
    </row>
    <row r="15" spans="1:7" ht="13.5" customHeight="1" x14ac:dyDescent="0.25">
      <c r="A15" s="75">
        <f>+'(skema1-7_2017 - 17pl)'!A15</f>
        <v>3840</v>
      </c>
      <c r="B15" s="7" t="str">
        <f>+'(skema1-7_2017 - 17pl)'!B15</f>
        <v>Nykøbing Sygehus</v>
      </c>
      <c r="C15" s="96">
        <f>IF(DTD_17!C15=0,"-",DTD_18!C15/DTD_17!C15*100-100)</f>
        <v>-3.5986353568812319</v>
      </c>
      <c r="D15" s="97">
        <f>IF(DTD_17!D15=0,"-",DTD_18!D15/DTD_17!D15*100-100)</f>
        <v>0.34756110984730526</v>
      </c>
      <c r="E15" s="82">
        <f>IF(DTD_17!E15=0,"-",DTD_18!E15/DTD_17!E15*100-100)</f>
        <v>-3.6526177484396811</v>
      </c>
      <c r="F15" s="82">
        <f>IF(DTD_17!F15=0,"-",DTD_18!F15/DTD_17!F15*100-100)</f>
        <v>-8.4596312874174657</v>
      </c>
      <c r="G15" s="91">
        <f>IF(DTD_17!G15=0,"-",DTD_18!G15/DTD_17!G15*100-100)</f>
        <v>-3.5785946105905708</v>
      </c>
    </row>
    <row r="16" spans="1:7" ht="13.5" customHeight="1" x14ac:dyDescent="0.25">
      <c r="A16" s="75">
        <f>+'(skema1-7_2017 - 17pl)'!A16</f>
        <v>4202</v>
      </c>
      <c r="B16" s="7" t="str">
        <f>+'(skema1-7_2017 - 17pl)'!B16</f>
        <v>Odense Universitetshospital</v>
      </c>
      <c r="C16" s="96">
        <f>IF(DTD_17!C16=0,"-",DTD_18!C16/DTD_17!C16*100-100)</f>
        <v>1.9226242844973882</v>
      </c>
      <c r="D16" s="97">
        <f>IF(DTD_17!D16=0,"-",DTD_18!D16/DTD_17!D16*100-100)</f>
        <v>12.745034822675066</v>
      </c>
      <c r="E16" s="82">
        <f>IF(DTD_17!E16=0,"-",DTD_18!E16/DTD_17!E16*100-100)</f>
        <v>1.6496040792959121</v>
      </c>
      <c r="F16" s="82">
        <f>IF(DTD_17!F16=0,"-",DTD_18!F16/DTD_17!F16*100-100)</f>
        <v>6.3751264550988083</v>
      </c>
      <c r="G16" s="91">
        <f>IF(DTD_17!G16=0,"-",DTD_18!G16/DTD_17!G16*100-100)</f>
        <v>0.93292123067641342</v>
      </c>
    </row>
    <row r="17" spans="1:7" ht="13.5" customHeight="1" x14ac:dyDescent="0.25">
      <c r="A17" s="75">
        <f>+'(skema1-7_2017 - 17pl)'!A17</f>
        <v>5000</v>
      </c>
      <c r="B17" s="7" t="str">
        <f>+'(skema1-7_2017 - 17pl)'!B17</f>
        <v>Sygehus Sønderjylland</v>
      </c>
      <c r="C17" s="96">
        <f>IF(DTD_17!C17=0,"-",DTD_18!C17/DTD_17!C17*100-100)</f>
        <v>2.3836625369968658</v>
      </c>
      <c r="D17" s="97">
        <f>IF(DTD_17!D17=0,"-",DTD_18!D17/DTD_17!D17*100-100)</f>
        <v>25.941577811466416</v>
      </c>
      <c r="E17" s="82">
        <f>IF(DTD_17!E17=0,"-",DTD_18!E17/DTD_17!E17*100-100)</f>
        <v>2.2616323867811445</v>
      </c>
      <c r="F17" s="82">
        <f>IF(DTD_17!F17=0,"-",DTD_18!F17/DTD_17!F17*100-100)</f>
        <v>4.1304559620054135</v>
      </c>
      <c r="G17" s="91">
        <f>IF(DTD_17!G17=0,"-",DTD_18!G17/DTD_17!G17*100-100)</f>
        <v>2.0993821088655977</v>
      </c>
    </row>
    <row r="18" spans="1:7" ht="13.5" customHeight="1" x14ac:dyDescent="0.25">
      <c r="A18" s="75">
        <f>+'(skema1-7_2017 - 17pl)'!A18</f>
        <v>5501</v>
      </c>
      <c r="B18" s="7" t="str">
        <f>+'(skema1-7_2017 - 17pl)'!B18</f>
        <v>Sydvestjysk Sygehus</v>
      </c>
      <c r="C18" s="96">
        <f>IF(DTD_17!C18=0,"-",DTD_18!C18/DTD_17!C18*100-100)</f>
        <v>0.55751829951960019</v>
      </c>
      <c r="D18" s="97">
        <f>IF(DTD_17!D18=0,"-",DTD_18!D18/DTD_17!D18*100-100)</f>
        <v>-2.8904646342710549</v>
      </c>
      <c r="E18" s="82">
        <f>IF(DTD_17!E18=0,"-",DTD_18!E18/DTD_17!E18*100-100)</f>
        <v>0.58739151458281924</v>
      </c>
      <c r="F18" s="82">
        <f>IF(DTD_17!F18=0,"-",DTD_18!F18/DTD_17!F18*100-100)</f>
        <v>8.1691220988834488</v>
      </c>
      <c r="G18" s="91">
        <f>IF(DTD_17!G18=0,"-",DTD_18!G18/DTD_17!G18*100-100)</f>
        <v>-0.14035817113736471</v>
      </c>
    </row>
    <row r="19" spans="1:7" ht="13.5" customHeight="1" x14ac:dyDescent="0.25">
      <c r="A19" s="75">
        <f>+'(skema1-7_2017 - 17pl)'!A19</f>
        <v>6007</v>
      </c>
      <c r="B19" s="7" t="str">
        <f>+'(skema1-7_2017 - 17pl)'!B19</f>
        <v>Fredericia og Kolding sygehuse</v>
      </c>
      <c r="C19" s="96">
        <f>IF(DTD_17!C19=0,"-",DTD_18!C19/DTD_17!C19*100-100)</f>
        <v>2.8301040303161784</v>
      </c>
      <c r="D19" s="97">
        <f>IF(DTD_17!D19=0,"-",DTD_18!D19/DTD_17!D19*100-100)</f>
        <v>5.8837728484293166</v>
      </c>
      <c r="E19" s="82">
        <f>IF(DTD_17!E19=0,"-",DTD_18!E19/DTD_17!E19*100-100)</f>
        <v>2.7653016658341301</v>
      </c>
      <c r="F19" s="82">
        <f>IF(DTD_17!F19=0,"-",DTD_18!F19/DTD_17!F19*100-100)</f>
        <v>6.133987755556646</v>
      </c>
      <c r="G19" s="91">
        <f>IF(DTD_17!G19=0,"-",DTD_18!G19/DTD_17!G19*100-100)</f>
        <v>2.4824395773560326</v>
      </c>
    </row>
    <row r="20" spans="1:7" ht="13.5" customHeight="1" x14ac:dyDescent="0.25">
      <c r="A20" s="75">
        <f>+'(skema1-7_2017 - 17pl)'!A20</f>
        <v>6008</v>
      </c>
      <c r="B20" s="7" t="str">
        <f>+'(skema1-7_2017 - 17pl)'!B20</f>
        <v>Vejle-Give-Middelfart sygehuse</v>
      </c>
      <c r="C20" s="96">
        <f>IF(DTD_17!C20=0,"-",DTD_18!C20/DTD_17!C20*100-100)</f>
        <v>2.4338042168387801</v>
      </c>
      <c r="D20" s="97">
        <f>IF(DTD_17!D20=0,"-",DTD_18!D20/DTD_17!D20*100-100)</f>
        <v>5.8837728484293166</v>
      </c>
      <c r="E20" s="82">
        <f>IF(DTD_17!E20=0,"-",DTD_18!E20/DTD_17!E20*100-100)</f>
        <v>2.2900384902308986</v>
      </c>
      <c r="F20" s="82">
        <f>IF(DTD_17!F20=0,"-",DTD_18!F20/DTD_17!F20*100-100)</f>
        <v>6.0164953209139895</v>
      </c>
      <c r="G20" s="91">
        <f>IF(DTD_17!G20=0,"-",DTD_18!G20/DTD_17!G20*100-100)</f>
        <v>1.2972110876985994</v>
      </c>
    </row>
    <row r="21" spans="1:7" ht="13.5" customHeight="1" x14ac:dyDescent="0.25">
      <c r="A21" s="75">
        <f>+'(skema1-7_2017 - 17pl)'!A21</f>
        <v>6013</v>
      </c>
      <c r="B21" s="7" t="str">
        <f>+'(skema1-7_2017 - 17pl)'!B21</f>
        <v>De Vestdanske Friklinikker, Give</v>
      </c>
      <c r="C21" s="96">
        <f>IF(DTD_17!C21=0,"-",DTD_18!C21/DTD_17!C21*100-100)</f>
        <v>-14.571322815295517</v>
      </c>
      <c r="D21" s="97" t="str">
        <f>IF(DTD_17!D21=0,"-",DTD_18!D21/DTD_17!D21*100-100)</f>
        <v>-</v>
      </c>
      <c r="E21" s="82">
        <f>IF(DTD_17!E21=0,"-",DTD_18!E21/DTD_17!E21*100-100)</f>
        <v>-14.571322815295517</v>
      </c>
      <c r="F21" s="82">
        <f>IF(DTD_17!F21=0,"-",DTD_18!F21/DTD_17!F21*100-100)</f>
        <v>81.608986689192278</v>
      </c>
      <c r="G21" s="91">
        <f>IF(DTD_17!G21=0,"-",DTD_18!G21/DTD_17!G21*100-100)</f>
        <v>-14.893526766076278</v>
      </c>
    </row>
    <row r="22" spans="1:7" ht="13.5" customHeight="1" x14ac:dyDescent="0.25">
      <c r="A22" s="75">
        <f>+'(skema1-7_2017 - 17pl)'!A22</f>
        <v>6006</v>
      </c>
      <c r="B22" s="7" t="str">
        <f>+'(skema1-7_2017 - 17pl)'!B22</f>
        <v>Hospitalenheden Horsens</v>
      </c>
      <c r="C22" s="96">
        <f>IF(DTD_17!C22=0,"-",DTD_18!C22/DTD_17!C22*100-100)</f>
        <v>4.1352327015047763E-2</v>
      </c>
      <c r="D22" s="97">
        <f>IF(DTD_17!D22=0,"-",DTD_18!D22/DTD_17!D22*100-100)</f>
        <v>-40.167552748898608</v>
      </c>
      <c r="E22" s="82">
        <f>IF(DTD_17!E22=0,"-",DTD_18!E22/DTD_17!E22*100-100)</f>
        <v>0.31582218297666032</v>
      </c>
      <c r="F22" s="82">
        <f>IF(DTD_17!F22=0,"-",DTD_18!F22/DTD_17!F22*100-100)</f>
        <v>1.9040920460295041</v>
      </c>
      <c r="G22" s="91">
        <f>IF(DTD_17!G22=0,"-",DTD_18!G22/DTD_17!G22*100-100)</f>
        <v>0.2643739891207133</v>
      </c>
    </row>
    <row r="23" spans="1:7" ht="13.5" customHeight="1" x14ac:dyDescent="0.25">
      <c r="A23" s="75">
        <f>+'(skema1-7_2017 - 17pl)'!A23</f>
        <v>6650</v>
      </c>
      <c r="B23" s="7" t="str">
        <f>+'(skema1-7_2017 - 17pl)'!B23</f>
        <v>Hospitalsenheden Vest</v>
      </c>
      <c r="C23" s="96">
        <f>IF(DTD_17!C23=0,"-",DTD_18!C23/DTD_17!C23*100-100)</f>
        <v>1.0934828343616516</v>
      </c>
      <c r="D23" s="97">
        <f>IF(DTD_17!D23=0,"-",DTD_18!D23/DTD_17!D23*100-100)</f>
        <v>-7.2701359217460748</v>
      </c>
      <c r="E23" s="82">
        <f>IF(DTD_17!E23=0,"-",DTD_18!E23/DTD_17!E23*100-100)</f>
        <v>1.2519707281118997</v>
      </c>
      <c r="F23" s="82">
        <f>IF(DTD_17!F23=0,"-",DTD_18!F23/DTD_17!F23*100-100)</f>
        <v>8.4631721429674798</v>
      </c>
      <c r="G23" s="91">
        <f>IF(DTD_17!G23=0,"-",DTD_18!G23/DTD_17!G23*100-100)</f>
        <v>0.32813961966884619</v>
      </c>
    </row>
    <row r="24" spans="1:7" ht="13.5" customHeight="1" x14ac:dyDescent="0.25">
      <c r="A24" s="75">
        <f>+'(skema1-7_2017 - 17pl)'!A24</f>
        <v>6620</v>
      </c>
      <c r="B24" s="7" t="str">
        <f>+'(skema1-7_2017 - 17pl)'!B24</f>
        <v>Aarhus Universitetshospital</v>
      </c>
      <c r="C24" s="96">
        <f>IF(DTD_17!C24=0,"-",DTD_18!C24/DTD_17!C24*100-100)</f>
        <v>-1.6473267304754842</v>
      </c>
      <c r="D24" s="97">
        <f>IF(DTD_17!D24=0,"-",DTD_18!D24/DTD_17!D24*100-100)</f>
        <v>0.93082215565650017</v>
      </c>
      <c r="E24" s="82">
        <f>IF(DTD_17!E24=0,"-",DTD_18!E24/DTD_17!E24*100-100)</f>
        <v>-1.7353272231980981</v>
      </c>
      <c r="F24" s="82">
        <f>IF(DTD_17!F24=0,"-",DTD_18!F24/DTD_17!F24*100-100)</f>
        <v>8.4898247770333768</v>
      </c>
      <c r="G24" s="91">
        <f>IF(DTD_17!G24=0,"-",DTD_18!G24/DTD_17!G24*100-100)</f>
        <v>-3.8933075086114854</v>
      </c>
    </row>
    <row r="25" spans="1:7" ht="13.5" customHeight="1" x14ac:dyDescent="0.25">
      <c r="A25" s="75">
        <f>+'(skema1-7_2017 - 17pl)'!A25</f>
        <v>7005</v>
      </c>
      <c r="B25" s="7" t="str">
        <f>+'(skema1-7_2017 - 17pl)'!B25</f>
        <v>Regionshospitalet Randers</v>
      </c>
      <c r="C25" s="96">
        <f>IF(DTD_17!C25=0,"-",DTD_18!C25/DTD_17!C25*100-100)</f>
        <v>-1.9330179374580041</v>
      </c>
      <c r="D25" s="97">
        <f>IF(DTD_17!D25=0,"-",DTD_18!D25/DTD_17!D25*100-100)</f>
        <v>4.7596861707393145</v>
      </c>
      <c r="E25" s="82">
        <f>IF(DTD_17!E25=0,"-",DTD_18!E25/DTD_17!E25*100-100)</f>
        <v>-1.9891023111051283</v>
      </c>
      <c r="F25" s="82">
        <f>IF(DTD_17!F25=0,"-",DTD_18!F25/DTD_17!F25*100-100)</f>
        <v>-3.1308213452696236</v>
      </c>
      <c r="G25" s="91">
        <f>IF(DTD_17!G25=0,"-",DTD_18!G25/DTD_17!G25*100-100)</f>
        <v>-1.9545978546951517</v>
      </c>
    </row>
    <row r="26" spans="1:7" ht="13.5" customHeight="1" x14ac:dyDescent="0.25">
      <c r="A26" s="75">
        <f>+'(skema1-7_2017 - 17pl)'!A26</f>
        <v>6630</v>
      </c>
      <c r="B26" s="7" t="str">
        <f>+'(skema1-7_2017 - 17pl)'!B26</f>
        <v>Hospitalsenhed Midt</v>
      </c>
      <c r="C26" s="96">
        <f>IF(DTD_17!C26=0,"-",DTD_18!C26/DTD_17!C26*100-100)</f>
        <v>-3.1537222202563271</v>
      </c>
      <c r="D26" s="97">
        <f>IF(DTD_17!D26=0,"-",DTD_18!D26/DTD_17!D26*100-100)</f>
        <v>-38.671256363368158</v>
      </c>
      <c r="E26" s="82">
        <f>IF(DTD_17!E26=0,"-",DTD_18!E26/DTD_17!E26*100-100)</f>
        <v>-2.3668657975719896</v>
      </c>
      <c r="F26" s="82">
        <f>IF(DTD_17!F26=0,"-",DTD_18!F26/DTD_17!F26*100-100)</f>
        <v>-1.6756669777596045</v>
      </c>
      <c r="G26" s="91">
        <f>IF(DTD_17!G26=0,"-",DTD_18!G26/DTD_17!G26*100-100)</f>
        <v>-2.4090340366397385</v>
      </c>
    </row>
    <row r="27" spans="1:7" ht="13.5" customHeight="1" x14ac:dyDescent="0.25">
      <c r="A27" s="75">
        <f>+'(skema1-7_2017 - 17pl)'!A27</f>
        <v>8001</v>
      </c>
      <c r="B27" s="7" t="str">
        <f>+'(skema1-7_2017 - 17pl)'!B27</f>
        <v>Aalborg Universitetshospital</v>
      </c>
      <c r="C27" s="96">
        <f>IF(DTD_17!C27=0,"-",DTD_18!C27/DTD_17!C27*100-100)</f>
        <v>9.1585476903672856</v>
      </c>
      <c r="D27" s="97">
        <f>IF(DTD_17!D27=0,"-",DTD_18!D27/DTD_17!D27*100-100)</f>
        <v>-2.1492919626767986</v>
      </c>
      <c r="E27" s="82">
        <f>IF(DTD_17!E27=0,"-",DTD_18!E27/DTD_17!E27*100-100)</f>
        <v>9.6262552691240586</v>
      </c>
      <c r="F27" s="82">
        <f>IF(DTD_17!F27=0,"-",DTD_18!F27/DTD_17!F27*100-100)</f>
        <v>8.538993156105974</v>
      </c>
      <c r="G27" s="91">
        <f>IF(DTD_17!G27=0,"-",DTD_18!G27/DTD_17!G27*100-100)</f>
        <v>9.7619686365401321</v>
      </c>
    </row>
    <row r="28" spans="1:7" ht="13.5" customHeight="1" x14ac:dyDescent="0.25">
      <c r="A28" s="75">
        <f>+'(skema1-7_2017 - 17pl)'!A28</f>
        <v>8003</v>
      </c>
      <c r="B28" s="7" t="str">
        <f>+'(skema1-7_2017 - 17pl)'!B28</f>
        <v>Regionshospitalet Nordjylland</v>
      </c>
      <c r="C28" s="96">
        <f>IF(DTD_17!C28=0,"-",DTD_18!C28/DTD_17!C28*100-100)</f>
        <v>-26.029407987069661</v>
      </c>
      <c r="D28" s="97">
        <f>IF(DTD_17!D28=0,"-",DTD_18!D28/DTD_17!D28*100-100)</f>
        <v>10.708240284405093</v>
      </c>
      <c r="E28" s="82">
        <f>IF(DTD_17!E28=0,"-",DTD_18!E28/DTD_17!E28*100-100)</f>
        <v>-26.20117430639003</v>
      </c>
      <c r="F28" s="82">
        <f>IF(DTD_17!F28=0,"-",DTD_18!F28/DTD_17!F28*100-100)</f>
        <v>-19.953027028613064</v>
      </c>
      <c r="G28" s="91">
        <f>IF(DTD_17!G28=0,"-",DTD_18!G28/DTD_17!G28*100-100)</f>
        <v>-26.38857254366998</v>
      </c>
    </row>
    <row r="29" spans="1:7" ht="13.5" customHeight="1" x14ac:dyDescent="0.25">
      <c r="A29" s="13"/>
      <c r="B29" s="13" t="s">
        <v>14</v>
      </c>
      <c r="C29" s="83">
        <f>IF(DTD_17!C29=0,"-",DTD_18!C29/DTD_17!C29*100-100)</f>
        <v>4.8984604452769531E-2</v>
      </c>
      <c r="D29" s="83">
        <f>IF(DTD_17!D29=0,"-",DTD_18!D29/DTD_17!D29*100-100)</f>
        <v>1.8370650213882982</v>
      </c>
      <c r="E29" s="83">
        <f>IF(DTD_17!E29=0,"-",DTD_18!E29/DTD_17!E29*100-100)</f>
        <v>5.6974582758755332E-3</v>
      </c>
      <c r="F29" s="83">
        <f>IF(DTD_17!F29=0,"-",DTD_18!F29/DTD_17!F29*100-100)</f>
        <v>7.0289504946338326</v>
      </c>
      <c r="G29" s="93">
        <f>IF(DTD_17!G29=0,"-",DTD_18!G29/DTD_17!G29*100-100)</f>
        <v>-0.89284158303964034</v>
      </c>
    </row>
    <row r="30" spans="1:7" ht="13.5" customHeight="1" x14ac:dyDescent="0.25">
      <c r="A30" s="37"/>
      <c r="B30" s="15"/>
    </row>
    <row r="31" spans="1:7" ht="13.5" customHeight="1" x14ac:dyDescent="0.25">
      <c r="A31" s="37"/>
      <c r="B31" s="17" t="s">
        <v>26</v>
      </c>
      <c r="C31" s="98">
        <f>IF(DTD_17!C31=0,"-",DTD_18!C31/DTD_17!C31*100-100)</f>
        <v>0.33211897113896782</v>
      </c>
      <c r="D31" s="98">
        <f>IF(DTD_17!D31=0,"-",DTD_18!D31/DTD_17!D31*100-100)</f>
        <v>10.738957767032502</v>
      </c>
      <c r="E31" s="98">
        <f>IF(DTD_17!E31=0,"-",DTD_18!E31/DTD_17!E31*100-100)</f>
        <v>7.5205792638527669E-2</v>
      </c>
      <c r="F31" s="98">
        <f>IF(DTD_17!F31=0,"-",DTD_18!F31/DTD_17!F31*100-100)</f>
        <v>8.237584980094482</v>
      </c>
      <c r="G31" s="99">
        <f>IF(DTD_17!G31=0,"-",DTD_18!G31/DTD_17!G31*100-100)</f>
        <v>-0.96802615592650909</v>
      </c>
    </row>
    <row r="32" spans="1:7" ht="13.5" customHeight="1" x14ac:dyDescent="0.25">
      <c r="A32" s="37"/>
      <c r="B32" s="19" t="s">
        <v>27</v>
      </c>
      <c r="C32" s="100">
        <f>IF(DTD_17!C32=0,"-",DTD_18!C32/DTD_17!C32*100-100)</f>
        <v>-1.8759402545351804</v>
      </c>
      <c r="D32" s="100">
        <f>IF(DTD_17!D32=0,"-",DTD_18!D32/DTD_17!D32*100-100)</f>
        <v>-21.67909154720104</v>
      </c>
      <c r="E32" s="100">
        <f>IF(DTD_17!E32=0,"-",DTD_18!E32/DTD_17!E32*100-100)</f>
        <v>-1.5116280229470362</v>
      </c>
      <c r="F32" s="100">
        <f>IF(DTD_17!F32=0,"-",DTD_18!F32/DTD_17!F32*100-100)</f>
        <v>4.7126821240170358</v>
      </c>
      <c r="G32" s="101">
        <f>IF(DTD_17!G32=0,"-",DTD_18!G32/DTD_17!G32*100-100)</f>
        <v>-2.203360785674974</v>
      </c>
    </row>
    <row r="33" spans="1:7" ht="13.5" customHeight="1" x14ac:dyDescent="0.25">
      <c r="A33" s="37"/>
      <c r="B33" s="19" t="s">
        <v>28</v>
      </c>
      <c r="C33" s="100">
        <f>IF(DTD_17!C33=0,"-",DTD_18!C33/DTD_17!C33*100-100)</f>
        <v>1.8736777602156707</v>
      </c>
      <c r="D33" s="100">
        <f>IF(DTD_17!D33=0,"-",DTD_18!D33/DTD_17!D33*100-100)</f>
        <v>9.9481996311377117</v>
      </c>
      <c r="E33" s="100">
        <f>IF(DTD_17!E33=0,"-",DTD_18!E33/DTD_17!E33*100-100)</f>
        <v>1.6967874631106099</v>
      </c>
      <c r="F33" s="100">
        <f>IF(DTD_17!F33=0,"-",DTD_18!F33/DTD_17!F33*100-100)</f>
        <v>6.2701411731580521</v>
      </c>
      <c r="G33" s="101">
        <f>IF(DTD_17!G33=0,"-",DTD_18!G33/DTD_17!G33*100-100)</f>
        <v>1.0584740745719756</v>
      </c>
    </row>
    <row r="34" spans="1:7" ht="13.5" customHeight="1" x14ac:dyDescent="0.25">
      <c r="A34" s="37"/>
      <c r="B34" s="19" t="s">
        <v>29</v>
      </c>
      <c r="C34" s="100">
        <f>IF(DTD_17!C34=0,"-",DTD_18!C34/DTD_17!C34*100-100)</f>
        <v>-1.3781651142608951</v>
      </c>
      <c r="D34" s="100">
        <f>IF(DTD_17!D34=0,"-",DTD_18!D34/DTD_17!D34*100-100)</f>
        <v>-6.8205208397965151</v>
      </c>
      <c r="E34" s="100">
        <f>IF(DTD_17!E34=0,"-",DTD_18!E34/DTD_17!E34*100-100)</f>
        <v>-1.2395395864858187</v>
      </c>
      <c r="F34" s="100">
        <f>IF(DTD_17!F34=0,"-",DTD_18!F34/DTD_17!F34*100-100)</f>
        <v>7.2823788158509188</v>
      </c>
      <c r="G34" s="101">
        <f>IF(DTD_17!G34=0,"-",DTD_18!G34/DTD_17!G34*100-100)</f>
        <v>-2.4189081266477075</v>
      </c>
    </row>
    <row r="35" spans="1:7" ht="13.5" customHeight="1" x14ac:dyDescent="0.25">
      <c r="B35" s="20" t="s">
        <v>30</v>
      </c>
      <c r="C35" s="102">
        <f>IF(DTD_17!C35=0,"-",DTD_18!C35/DTD_17!C35*100-100)</f>
        <v>0.84543037401904542</v>
      </c>
      <c r="D35" s="102">
        <f>IF(DTD_17!D35=0,"-",DTD_18!D35/DTD_17!D35*100-100)</f>
        <v>-1.6995933435355823</v>
      </c>
      <c r="E35" s="102">
        <f>IF(DTD_17!E35=0,"-",DTD_18!E35/DTD_17!E35*100-100)</f>
        <v>0.92802839462169118</v>
      </c>
      <c r="F35" s="102">
        <f>IF(DTD_17!F35=0,"-",DTD_18!F35/DTD_17!F35*100-100)</f>
        <v>6.327887793652593</v>
      </c>
      <c r="G35" s="103">
        <f>IF(DTD_17!G35=0,"-",DTD_18!G35/DTD_17!G35*100-100)</f>
        <v>0.38680765358922997</v>
      </c>
    </row>
    <row r="36" spans="1:7" ht="13.5" customHeight="1" x14ac:dyDescent="0.25">
      <c r="B36" s="13" t="s">
        <v>14</v>
      </c>
      <c r="C36" s="94">
        <f>IF(DTD_17!C36=0,"-",DTD_18!C36/DTD_17!C36*100-100)</f>
        <v>4.8984604452769531E-2</v>
      </c>
      <c r="D36" s="94">
        <f>IF(DTD_17!D36=0,"-",DTD_18!D36/DTD_17!D36*100-100)</f>
        <v>1.8370650213882982</v>
      </c>
      <c r="E36" s="94">
        <f>IF(DTD_17!E36=0,"-",DTD_18!E36/DTD_17!E36*100-100)</f>
        <v>5.6974582758755332E-3</v>
      </c>
      <c r="F36" s="94">
        <f>IF(DTD_17!F36=0,"-",DTD_18!F36/DTD_17!F36*100-100)</f>
        <v>7.0289504946338326</v>
      </c>
      <c r="G36" s="95">
        <f>IF(DTD_17!G36=0,"-",DTD_18!G36/DTD_17!G36*100-100)</f>
        <v>-0.89284158303964034</v>
      </c>
    </row>
    <row r="37" spans="1:7" ht="13.5" customHeight="1" x14ac:dyDescent="0.25"/>
    <row r="38" spans="1:7" ht="13.5" customHeight="1" x14ac:dyDescent="0.25"/>
    <row r="39" spans="1:7" ht="13.5" customHeight="1" x14ac:dyDescent="0.25"/>
    <row r="40" spans="1:7" ht="13.5" customHeight="1" x14ac:dyDescent="0.25"/>
    <row r="41" spans="1:7" ht="13.5" customHeight="1" x14ac:dyDescent="0.25"/>
    <row r="42" spans="1:7" ht="13.5" customHeight="1" x14ac:dyDescent="0.25"/>
    <row r="43" spans="1:7" ht="13.5" customHeight="1" x14ac:dyDescent="0.25"/>
    <row r="44" spans="1:7" ht="13.5" customHeight="1" x14ac:dyDescent="0.25"/>
  </sheetData>
  <pageMargins left="0.51181102362204722" right="0.43307086614173229" top="0.51181102362204722" bottom="0.19685039370078741" header="0.23622047244094491" footer="0.23622047244094491"/>
  <pageSetup paperSize="9" scale="83" orientation="landscape" horizontalDpi="300" verticalDpi="300" r:id="rId1"/>
  <headerFooter alignWithMargins="0">
    <oddHeader>&amp;CSide &amp;P /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Normal="100" workbookViewId="0">
      <selection activeCell="F5" sqref="F5"/>
    </sheetView>
  </sheetViews>
  <sheetFormatPr defaultColWidth="8.81640625" defaultRowHeight="11.5" x14ac:dyDescent="0.25"/>
  <cols>
    <col min="1" max="1" width="8.54296875" style="104" customWidth="1"/>
    <col min="2" max="2" width="39.26953125" style="104" customWidth="1"/>
    <col min="3" max="7" width="12.81640625" style="104" customWidth="1"/>
    <col min="8" max="8" width="7.453125" style="104" customWidth="1"/>
    <col min="9" max="16384" width="8.81640625" style="104"/>
  </cols>
  <sheetData>
    <row r="1" spans="1:15" ht="15.5" x14ac:dyDescent="0.35">
      <c r="A1" s="72" t="str">
        <f>'Skema1-7_2017'!A1</f>
        <v>Offentliggjort 9. marts 2021</v>
      </c>
    </row>
    <row r="2" spans="1:15" ht="13.5" customHeight="1" x14ac:dyDescent="0.3">
      <c r="A2" s="105" t="s">
        <v>107</v>
      </c>
    </row>
    <row r="3" spans="1:15" ht="13.5" customHeight="1" x14ac:dyDescent="0.3">
      <c r="A3" s="90" t="s">
        <v>38</v>
      </c>
    </row>
    <row r="4" spans="1:15" ht="54" customHeight="1" x14ac:dyDescent="0.25">
      <c r="A4" s="73" t="s">
        <v>6</v>
      </c>
      <c r="B4" s="73" t="s">
        <v>0</v>
      </c>
      <c r="C4" s="12" t="s">
        <v>33</v>
      </c>
      <c r="D4" s="12" t="s">
        <v>21</v>
      </c>
      <c r="E4" s="12" t="s">
        <v>24</v>
      </c>
      <c r="F4" s="12" t="s">
        <v>41</v>
      </c>
      <c r="G4" s="12" t="s">
        <v>31</v>
      </c>
      <c r="I4" s="175"/>
    </row>
    <row r="5" spans="1:15" ht="13.5" customHeight="1" x14ac:dyDescent="0.25">
      <c r="A5" s="74">
        <f>+'(skema1-7_2017 - 17pl)'!A5</f>
        <v>1301</v>
      </c>
      <c r="B5" s="4" t="str">
        <f>+'(skema1-7_2017 - 17pl)'!B5</f>
        <v>Rigshospitalet</v>
      </c>
      <c r="C5" s="29">
        <v>8723317.5449999999</v>
      </c>
      <c r="D5" s="29">
        <v>997457.897</v>
      </c>
      <c r="E5" s="29">
        <v>29771.477925054263</v>
      </c>
      <c r="F5" s="29">
        <v>100881.62</v>
      </c>
      <c r="G5" s="29">
        <f t="shared" ref="G5:G14" si="0">C5-SUM(D5:F5)</f>
        <v>7595206.5500749461</v>
      </c>
      <c r="H5" s="106"/>
      <c r="I5" s="161"/>
      <c r="J5" s="106"/>
      <c r="K5" s="106"/>
      <c r="L5" s="106"/>
      <c r="N5" s="106"/>
      <c r="O5" s="179"/>
    </row>
    <row r="6" spans="1:15" ht="13.5" customHeight="1" x14ac:dyDescent="0.25">
      <c r="A6" s="75">
        <f>+'(skema1-7_2017 - 17pl)'!A6</f>
        <v>1309</v>
      </c>
      <c r="B6" s="7" t="str">
        <f>+'(skema1-7_2017 - 17pl)'!B6</f>
        <v>Bispebjerg og Frederiksberg Hospital</v>
      </c>
      <c r="C6" s="29">
        <v>3161191.6889999998</v>
      </c>
      <c r="D6" s="29">
        <v>88463.914000000004</v>
      </c>
      <c r="E6" s="29">
        <v>3150.3450324351434</v>
      </c>
      <c r="F6" s="29">
        <v>807747.19</v>
      </c>
      <c r="G6" s="29">
        <f t="shared" si="0"/>
        <v>2261830.2399675646</v>
      </c>
      <c r="H6" s="106"/>
      <c r="I6" s="161"/>
      <c r="J6" s="106"/>
      <c r="K6" s="106"/>
      <c r="L6" s="106"/>
      <c r="N6" s="106"/>
      <c r="O6" s="179"/>
    </row>
    <row r="7" spans="1:15" ht="13.5" customHeight="1" x14ac:dyDescent="0.25">
      <c r="A7" s="75">
        <f>+'(skema1-7_2017 - 17pl)'!A7</f>
        <v>1330</v>
      </c>
      <c r="B7" s="7" t="str">
        <f>+'(skema1-7_2017 - 17pl)'!B7</f>
        <v>Amager og Hvidovre Hospital</v>
      </c>
      <c r="C7" s="29">
        <v>2978849.5929999999</v>
      </c>
      <c r="D7" s="29">
        <v>42194.883999999998</v>
      </c>
      <c r="E7" s="29">
        <v>2188.9859123625793</v>
      </c>
      <c r="F7" s="29">
        <v>90780.172000000006</v>
      </c>
      <c r="G7" s="29">
        <f t="shared" si="0"/>
        <v>2843685.5510876374</v>
      </c>
      <c r="H7" s="106"/>
      <c r="I7" s="161"/>
      <c r="J7" s="106"/>
      <c r="K7" s="106"/>
      <c r="L7" s="106"/>
      <c r="N7" s="106"/>
      <c r="O7" s="179"/>
    </row>
    <row r="8" spans="1:15" ht="13.5" customHeight="1" x14ac:dyDescent="0.25">
      <c r="A8" s="75">
        <f>+'(skema1-7_2017 - 17pl)'!A8</f>
        <v>1516</v>
      </c>
      <c r="B8" s="7" t="str">
        <f>+'(skema1-7_2017 - 17pl)'!B8</f>
        <v>Herlev og Gentofte Hospital</v>
      </c>
      <c r="C8" s="29">
        <v>5542997.4850000003</v>
      </c>
      <c r="D8" s="29">
        <v>382844.40500000003</v>
      </c>
      <c r="E8" s="29">
        <v>6291.9808843238279</v>
      </c>
      <c r="F8" s="29">
        <v>27518.340333936187</v>
      </c>
      <c r="G8" s="29">
        <f t="shared" si="0"/>
        <v>5126342.7587817404</v>
      </c>
      <c r="H8" s="106"/>
      <c r="I8" s="161"/>
      <c r="J8" s="106"/>
      <c r="K8" s="106"/>
      <c r="L8" s="106"/>
      <c r="N8" s="106"/>
      <c r="O8" s="179"/>
    </row>
    <row r="9" spans="1:15" ht="13.5" customHeight="1" x14ac:dyDescent="0.25">
      <c r="A9" s="75">
        <f>+'(skema1-7_2017 - 17pl)'!A9</f>
        <v>1507</v>
      </c>
      <c r="B9" s="7" t="str">
        <f>+'(skema1-7_2017 - 17pl)'!B9</f>
        <v>Steno Diabetes Center Copenhagen</v>
      </c>
      <c r="C9" s="29">
        <v>48400.699000000001</v>
      </c>
      <c r="D9" s="29">
        <v>14.608000000000001</v>
      </c>
      <c r="E9" s="29">
        <v>0</v>
      </c>
      <c r="F9" s="29">
        <v>0</v>
      </c>
      <c r="G9" s="29">
        <f t="shared" ref="G9" si="1">C9-SUM(D9:F9)</f>
        <v>48386.091</v>
      </c>
      <c r="H9" s="106"/>
      <c r="I9" s="161"/>
      <c r="J9" s="106"/>
      <c r="K9" s="106"/>
      <c r="L9" s="106"/>
      <c r="N9" s="106"/>
      <c r="O9" s="179"/>
    </row>
    <row r="10" spans="1:15" ht="13.5" customHeight="1" x14ac:dyDescent="0.25">
      <c r="A10" s="75">
        <f>+'(skema1-7_2017 - 17pl)'!A10</f>
        <v>2000</v>
      </c>
      <c r="B10" s="7" t="str">
        <f>+'(skema1-7_2017 - 17pl)'!B10</f>
        <v>Nordsjællands Hospital</v>
      </c>
      <c r="C10" s="29">
        <v>2592669.4789999998</v>
      </c>
      <c r="D10" s="29">
        <v>65828.998000000007</v>
      </c>
      <c r="E10" s="29">
        <v>3741.7615535727236</v>
      </c>
      <c r="F10" s="29">
        <v>39974.995662638525</v>
      </c>
      <c r="G10" s="29">
        <f t="shared" si="0"/>
        <v>2483123.7237837887</v>
      </c>
      <c r="H10" s="106"/>
      <c r="I10" s="161"/>
      <c r="J10" s="106"/>
      <c r="K10" s="106"/>
      <c r="N10" s="106"/>
      <c r="O10" s="179"/>
    </row>
    <row r="11" spans="1:15" ht="13.5" customHeight="1" x14ac:dyDescent="0.25">
      <c r="A11" s="75">
        <f>+'(skema1-7_2017 - 17pl)'!A11</f>
        <v>4001</v>
      </c>
      <c r="B11" s="7" t="str">
        <f>+'(skema1-7_2017 - 17pl)'!B11</f>
        <v>Bornholms Hospital</v>
      </c>
      <c r="C11" s="29">
        <v>371292.15500000003</v>
      </c>
      <c r="D11" s="29">
        <v>17488.651000000002</v>
      </c>
      <c r="E11" s="29">
        <v>396.01929823527462</v>
      </c>
      <c r="F11" s="29">
        <v>16010.652</v>
      </c>
      <c r="G11" s="29">
        <f t="shared" si="0"/>
        <v>337396.83270176477</v>
      </c>
      <c r="H11" s="106"/>
      <c r="I11" s="161"/>
      <c r="J11" s="106"/>
      <c r="K11" s="106"/>
      <c r="L11" s="106"/>
      <c r="N11" s="106"/>
      <c r="O11" s="179"/>
    </row>
    <row r="12" spans="1:15" ht="13.5" customHeight="1" x14ac:dyDescent="0.25">
      <c r="A12" s="75">
        <f>+'(skema1-7_2017 - 17pl)'!A12</f>
        <v>3810</v>
      </c>
      <c r="B12" s="7" t="str">
        <f>+'(skema1-7_2017 - 17pl)'!B12</f>
        <v>Sjællands Universitetshospital</v>
      </c>
      <c r="C12" s="29">
        <v>4276098.6660000002</v>
      </c>
      <c r="D12" s="29">
        <v>602443.73300000001</v>
      </c>
      <c r="E12" s="29">
        <v>-73306.637968451949</v>
      </c>
      <c r="F12" s="29">
        <v>236577.79381249999</v>
      </c>
      <c r="G12" s="29">
        <f t="shared" si="0"/>
        <v>3510383.7771559521</v>
      </c>
      <c r="H12" s="106"/>
      <c r="I12" s="106"/>
      <c r="J12" s="106"/>
      <c r="K12" s="106"/>
      <c r="L12" s="106"/>
      <c r="N12" s="106"/>
    </row>
    <row r="13" spans="1:15" ht="13.5" customHeight="1" x14ac:dyDescent="0.25">
      <c r="A13" s="75">
        <f>+'(skema1-7_2017 - 17pl)'!A13</f>
        <v>3820</v>
      </c>
      <c r="B13" s="7" t="str">
        <f>+'(skema1-7_2017 - 17pl)'!B13</f>
        <v>Holbæk Sygehus</v>
      </c>
      <c r="C13" s="29">
        <v>1255999.932</v>
      </c>
      <c r="D13" s="29">
        <v>24082.239000000001</v>
      </c>
      <c r="E13" s="29">
        <v>-22011.203753403737</v>
      </c>
      <c r="F13" s="29">
        <v>550.83900770228172</v>
      </c>
      <c r="G13" s="29">
        <f t="shared" si="0"/>
        <v>1253378.0577457014</v>
      </c>
      <c r="H13" s="106"/>
      <c r="I13" s="106"/>
      <c r="J13" s="106"/>
      <c r="K13" s="106"/>
      <c r="L13" s="106"/>
      <c r="N13" s="106"/>
    </row>
    <row r="14" spans="1:15" ht="13.5" customHeight="1" x14ac:dyDescent="0.25">
      <c r="A14" s="75">
        <f>+'(skema1-7_2017 - 17pl)'!A14</f>
        <v>3830</v>
      </c>
      <c r="B14" s="7" t="str">
        <f>+'(skema1-7_2017 - 17pl)'!B14</f>
        <v>Næstved, Slagelse og Ringsted sygehuse</v>
      </c>
      <c r="C14" s="29">
        <v>2045222.0589999999</v>
      </c>
      <c r="D14" s="29">
        <v>49267.900999999998</v>
      </c>
      <c r="E14" s="29">
        <v>-34110.320310824201</v>
      </c>
      <c r="F14" s="29">
        <v>377202.73802713666</v>
      </c>
      <c r="G14" s="29">
        <f t="shared" si="0"/>
        <v>1652861.7402836874</v>
      </c>
      <c r="H14" s="106"/>
      <c r="I14" s="106"/>
      <c r="J14" s="106"/>
      <c r="K14" s="106"/>
      <c r="L14" s="106"/>
      <c r="N14" s="106"/>
    </row>
    <row r="15" spans="1:15" ht="13.5" customHeight="1" x14ac:dyDescent="0.25">
      <c r="A15" s="75">
        <f>+'(skema1-7_2017 - 17pl)'!A15</f>
        <v>3840</v>
      </c>
      <c r="B15" s="7" t="str">
        <f>+'(skema1-7_2017 - 17pl)'!B15</f>
        <v>Nykøbing Sygehus</v>
      </c>
      <c r="C15" s="29">
        <v>1001765.836</v>
      </c>
      <c r="D15" s="29">
        <v>7272.7650000000003</v>
      </c>
      <c r="E15" s="29">
        <v>-25386.521172301844</v>
      </c>
      <c r="F15" s="29">
        <v>209009.39873728048</v>
      </c>
      <c r="G15" s="29">
        <f t="shared" ref="G15:G28" si="2">C15-SUM(D15:F15)</f>
        <v>810870.19343502144</v>
      </c>
      <c r="H15" s="106"/>
      <c r="I15" s="106"/>
      <c r="J15" s="106"/>
      <c r="K15" s="106"/>
      <c r="L15" s="106"/>
      <c r="N15" s="106"/>
    </row>
    <row r="16" spans="1:15" ht="13.5" customHeight="1" x14ac:dyDescent="0.25">
      <c r="A16" s="75">
        <f>+'(skema1-7_2017 - 17pl)'!A16</f>
        <v>4202</v>
      </c>
      <c r="B16" s="7" t="str">
        <f>+'(skema1-7_2017 - 17pl)'!B16</f>
        <v>Odense Universitetshospital</v>
      </c>
      <c r="C16" s="29">
        <v>7537099.8820000002</v>
      </c>
      <c r="D16" s="29">
        <v>560402.52899999998</v>
      </c>
      <c r="E16" s="29">
        <v>8818.1872667707503</v>
      </c>
      <c r="F16" s="29">
        <v>2712.3879999999999</v>
      </c>
      <c r="G16" s="29">
        <f t="shared" si="2"/>
        <v>6965166.7777332291</v>
      </c>
      <c r="H16" s="106"/>
      <c r="I16" s="106"/>
      <c r="J16" s="106"/>
      <c r="K16" s="106"/>
      <c r="L16" s="106"/>
      <c r="N16" s="106"/>
    </row>
    <row r="17" spans="1:14" ht="13.5" customHeight="1" x14ac:dyDescent="0.25">
      <c r="A17" s="75">
        <f>+'(skema1-7_2017 - 17pl)'!A17</f>
        <v>5000</v>
      </c>
      <c r="B17" s="7" t="str">
        <f>+'(skema1-7_2017 - 17pl)'!B17</f>
        <v>Sygehus Sønderjylland</v>
      </c>
      <c r="C17" s="29">
        <v>1961138.2490000001</v>
      </c>
      <c r="D17" s="29">
        <v>75769.159</v>
      </c>
      <c r="E17" s="29">
        <v>2176.7624979331158</v>
      </c>
      <c r="F17" s="29">
        <v>216.66399999999999</v>
      </c>
      <c r="G17" s="29">
        <f t="shared" si="2"/>
        <v>1882975.6635020669</v>
      </c>
      <c r="H17" s="106"/>
      <c r="I17" s="106"/>
      <c r="J17" s="106"/>
      <c r="K17" s="106"/>
      <c r="L17" s="106"/>
      <c r="N17" s="106"/>
    </row>
    <row r="18" spans="1:14" ht="13.5" customHeight="1" x14ac:dyDescent="0.25">
      <c r="A18" s="75">
        <f>+'(skema1-7_2017 - 17pl)'!A18</f>
        <v>5501</v>
      </c>
      <c r="B18" s="7" t="str">
        <f>+'(skema1-7_2017 - 17pl)'!B18</f>
        <v>Sydvestjysk Sygehus</v>
      </c>
      <c r="C18" s="29">
        <v>2043178.65</v>
      </c>
      <c r="D18" s="29">
        <v>77053.240000000005</v>
      </c>
      <c r="E18" s="29">
        <v>2065.094787521055</v>
      </c>
      <c r="F18" s="29">
        <v>141.036</v>
      </c>
      <c r="G18" s="29">
        <f t="shared" si="2"/>
        <v>1963919.2792124788</v>
      </c>
      <c r="H18" s="106"/>
      <c r="I18" s="106"/>
      <c r="J18" s="106"/>
      <c r="K18" s="106"/>
      <c r="L18" s="106"/>
      <c r="N18" s="106"/>
    </row>
    <row r="19" spans="1:14" ht="13.5" customHeight="1" x14ac:dyDescent="0.25">
      <c r="A19" s="75">
        <f>+'(skema1-7_2017 - 17pl)'!A19</f>
        <v>6007</v>
      </c>
      <c r="B19" s="7" t="str">
        <f>+'(skema1-7_2017 - 17pl)'!B19</f>
        <v>Fredericia og Kolding sygehuse</v>
      </c>
      <c r="C19" s="29">
        <v>1569930.861</v>
      </c>
      <c r="D19" s="29">
        <v>37593.652999999998</v>
      </c>
      <c r="E19" s="29">
        <v>13234.291487462353</v>
      </c>
      <c r="F19" s="29">
        <v>228.928</v>
      </c>
      <c r="G19" s="29">
        <f t="shared" si="2"/>
        <v>1518873.9885125377</v>
      </c>
      <c r="H19" s="106"/>
      <c r="I19" s="106"/>
      <c r="J19" s="106"/>
      <c r="K19" s="106"/>
      <c r="L19" s="106"/>
      <c r="N19" s="106"/>
    </row>
    <row r="20" spans="1:14" ht="13.5" customHeight="1" x14ac:dyDescent="0.25">
      <c r="A20" s="75">
        <f>+'(skema1-7_2017 - 17pl)'!A20</f>
        <v>6008</v>
      </c>
      <c r="B20" s="7" t="str">
        <f>+'(skema1-7_2017 - 17pl)'!B20</f>
        <v>Vejle-Give-Middelfart sygehuse</v>
      </c>
      <c r="C20" s="29">
        <v>2025048.798</v>
      </c>
      <c r="D20" s="29">
        <v>210899.92499999999</v>
      </c>
      <c r="E20" s="29">
        <v>6110.766373599181</v>
      </c>
      <c r="F20" s="29">
        <v>2283.1480000000001</v>
      </c>
      <c r="G20" s="29">
        <f t="shared" si="2"/>
        <v>1805754.9586264007</v>
      </c>
      <c r="H20" s="106"/>
      <c r="I20" s="106"/>
      <c r="J20" s="106"/>
      <c r="K20" s="106"/>
      <c r="L20" s="106"/>
      <c r="N20" s="106"/>
    </row>
    <row r="21" spans="1:14" ht="13.5" customHeight="1" x14ac:dyDescent="0.25">
      <c r="A21" s="75">
        <f>+'(skema1-7_2017 - 17pl)'!A21</f>
        <v>6013</v>
      </c>
      <c r="B21" s="7" t="s">
        <v>108</v>
      </c>
      <c r="C21" s="29">
        <v>110082.345</v>
      </c>
      <c r="D21" s="29">
        <v>229.655</v>
      </c>
      <c r="E21" s="29">
        <v>21.883956531973126</v>
      </c>
      <c r="F21" s="29">
        <v>0</v>
      </c>
      <c r="G21" s="29">
        <f t="shared" si="2"/>
        <v>109830.80604346802</v>
      </c>
      <c r="H21" s="106"/>
      <c r="I21" s="106"/>
      <c r="J21" s="106"/>
      <c r="K21" s="106"/>
      <c r="L21" s="106"/>
      <c r="N21" s="106"/>
    </row>
    <row r="22" spans="1:14" ht="13.5" customHeight="1" x14ac:dyDescent="0.25">
      <c r="A22" s="75">
        <f>+'(skema1-7_2017 - 17pl)'!A22</f>
        <v>6006</v>
      </c>
      <c r="B22" s="7" t="s">
        <v>109</v>
      </c>
      <c r="C22" s="29">
        <v>1179664.0530000001</v>
      </c>
      <c r="D22" s="29">
        <v>18212.89</v>
      </c>
      <c r="E22" s="29">
        <v>1638.7022084477358</v>
      </c>
      <c r="F22" s="29">
        <v>112.42</v>
      </c>
      <c r="G22" s="29">
        <f t="shared" si="2"/>
        <v>1159700.0407915523</v>
      </c>
      <c r="H22" s="106"/>
      <c r="I22" s="106"/>
      <c r="J22" s="106"/>
      <c r="K22" s="106"/>
      <c r="L22" s="106"/>
      <c r="N22" s="106"/>
    </row>
    <row r="23" spans="1:14" ht="13.5" customHeight="1" x14ac:dyDescent="0.25">
      <c r="A23" s="75">
        <f>+'(skema1-7_2017 - 17pl)'!A23</f>
        <v>6650</v>
      </c>
      <c r="B23" s="7" t="str">
        <f>+'(skema1-7_2017 - 17pl)'!B23</f>
        <v>Hospitalsenheden Vest</v>
      </c>
      <c r="C23" s="29">
        <v>2511909.2030000002</v>
      </c>
      <c r="D23" s="29">
        <v>140518.76800000001</v>
      </c>
      <c r="E23" s="29">
        <v>2890.365794521058</v>
      </c>
      <c r="F23" s="29">
        <v>8864.0163938170408</v>
      </c>
      <c r="G23" s="29">
        <f t="shared" si="2"/>
        <v>2359636.0528116622</v>
      </c>
      <c r="H23" s="106"/>
      <c r="I23" s="106"/>
      <c r="J23" s="106"/>
      <c r="K23" s="106"/>
      <c r="L23" s="106"/>
      <c r="N23" s="106"/>
    </row>
    <row r="24" spans="1:14" ht="13.5" customHeight="1" x14ac:dyDescent="0.25">
      <c r="A24" s="75">
        <f>+'(skema1-7_2017 - 17pl)'!A24</f>
        <v>6620</v>
      </c>
      <c r="B24" s="7" t="str">
        <f>+'(skema1-7_2017 - 17pl)'!B24</f>
        <v>Aarhus Universitetshospital</v>
      </c>
      <c r="C24" s="29">
        <v>6826634.0650000004</v>
      </c>
      <c r="D24" s="29">
        <v>607749.14800000004</v>
      </c>
      <c r="E24" s="29">
        <v>8962.2714470513165</v>
      </c>
      <c r="F24" s="29">
        <v>154563.10200000001</v>
      </c>
      <c r="G24" s="29">
        <f t="shared" si="2"/>
        <v>6055359.5435529491</v>
      </c>
      <c r="H24" s="106"/>
      <c r="I24" s="106"/>
      <c r="J24" s="106"/>
      <c r="K24" s="106"/>
      <c r="L24" s="106"/>
      <c r="N24" s="106"/>
    </row>
    <row r="25" spans="1:14" ht="13.5" customHeight="1" x14ac:dyDescent="0.25">
      <c r="A25" s="75">
        <f>+'(skema1-7_2017 - 17pl)'!A25</f>
        <v>7005</v>
      </c>
      <c r="B25" s="7" t="str">
        <f>+'(skema1-7_2017 - 17pl)'!B25</f>
        <v>Regionshospitalet Randers</v>
      </c>
      <c r="C25" s="29">
        <v>1311564.078</v>
      </c>
      <c r="D25" s="29">
        <v>9897.8529999999992</v>
      </c>
      <c r="E25" s="29">
        <v>1723.0809776334791</v>
      </c>
      <c r="F25" s="29">
        <v>3215.212</v>
      </c>
      <c r="G25" s="29">
        <f t="shared" si="2"/>
        <v>1296727.9320223664</v>
      </c>
      <c r="H25" s="106"/>
      <c r="I25" s="106"/>
      <c r="J25" s="106"/>
      <c r="K25" s="106"/>
      <c r="L25" s="106"/>
      <c r="N25" s="106"/>
    </row>
    <row r="26" spans="1:14" ht="13.5" customHeight="1" x14ac:dyDescent="0.25">
      <c r="A26" s="75">
        <f>+'(skema1-7_2017 - 17pl)'!A26</f>
        <v>6630</v>
      </c>
      <c r="B26" s="7" t="str">
        <f>+'(skema1-7_2017 - 17pl)'!B26</f>
        <v>Hospitalsenhed Midt</v>
      </c>
      <c r="C26" s="29">
        <v>2720368.1009999998</v>
      </c>
      <c r="D26" s="29">
        <v>71727.798999999999</v>
      </c>
      <c r="E26" s="29">
        <v>3777.5336616367567</v>
      </c>
      <c r="F26" s="29">
        <v>39686.946000000004</v>
      </c>
      <c r="G26" s="29">
        <f t="shared" si="2"/>
        <v>2605175.8223383632</v>
      </c>
      <c r="H26" s="106"/>
      <c r="I26" s="106"/>
      <c r="J26" s="106"/>
      <c r="K26" s="106"/>
      <c r="L26" s="106"/>
      <c r="N26" s="106"/>
    </row>
    <row r="27" spans="1:14" ht="13.5" customHeight="1" x14ac:dyDescent="0.25">
      <c r="A27" s="75">
        <f>+'(skema1-7_2017 - 17pl)'!A27</f>
        <v>8001</v>
      </c>
      <c r="B27" s="7" t="str">
        <f>+'(skema1-7_2017 - 17pl)'!B27</f>
        <v>Aalborg Universitetshospital</v>
      </c>
      <c r="C27" s="29">
        <v>4626868.4649999999</v>
      </c>
      <c r="D27" s="29">
        <v>357992.85499999998</v>
      </c>
      <c r="E27" s="29">
        <v>5636.6276479561348</v>
      </c>
      <c r="F27" s="29">
        <v>100.15600000000001</v>
      </c>
      <c r="G27" s="29">
        <f t="shared" si="2"/>
        <v>4263138.826352044</v>
      </c>
      <c r="H27" s="106"/>
      <c r="I27" s="106"/>
      <c r="J27" s="106"/>
      <c r="K27" s="106"/>
      <c r="L27" s="106"/>
      <c r="N27" s="106"/>
    </row>
    <row r="28" spans="1:14" ht="13.5" customHeight="1" x14ac:dyDescent="0.25">
      <c r="A28" s="75">
        <f>+'(skema1-7_2017 - 17pl)'!A28</f>
        <v>8003</v>
      </c>
      <c r="B28" s="7" t="str">
        <f>+'(skema1-7_2017 - 17pl)'!B28</f>
        <v>Regionshospitalet Nordjylland</v>
      </c>
      <c r="C28" s="29">
        <v>1486822.166</v>
      </c>
      <c r="D28" s="29">
        <v>88667.216</v>
      </c>
      <c r="E28" s="29">
        <v>9521.2658847422572</v>
      </c>
      <c r="F28" s="29">
        <v>96.067999999999998</v>
      </c>
      <c r="G28" s="29">
        <f t="shared" si="2"/>
        <v>1388537.6161152576</v>
      </c>
      <c r="H28" s="106"/>
      <c r="I28" s="106"/>
      <c r="J28" s="106"/>
      <c r="K28" s="106"/>
      <c r="L28" s="106"/>
      <c r="N28" s="106"/>
    </row>
    <row r="29" spans="1:14" ht="13.5" customHeight="1" x14ac:dyDescent="0.25">
      <c r="A29" s="13"/>
      <c r="B29" s="13" t="s">
        <v>14</v>
      </c>
      <c r="C29" s="14">
        <f t="shared" ref="C29:G29" si="3">SUM(C5:C28)</f>
        <v>67908114.054000005</v>
      </c>
      <c r="D29" s="14">
        <f t="shared" si="3"/>
        <v>4534074.6850000005</v>
      </c>
      <c r="E29" s="14">
        <f t="shared" si="3"/>
        <v>-42697.278607190747</v>
      </c>
      <c r="F29" s="14">
        <f t="shared" si="3"/>
        <v>2118473.8239750112</v>
      </c>
      <c r="G29" s="14">
        <f t="shared" si="3"/>
        <v>61298262.823632181</v>
      </c>
      <c r="H29" s="107"/>
    </row>
    <row r="30" spans="1:14" ht="13.5" customHeight="1" x14ac:dyDescent="0.25">
      <c r="A30" s="37"/>
      <c r="B30" s="15"/>
      <c r="C30" s="16"/>
      <c r="D30" s="16"/>
      <c r="E30" s="16"/>
      <c r="F30" s="16"/>
      <c r="G30" s="16"/>
      <c r="H30" s="107"/>
    </row>
    <row r="31" spans="1:14" ht="13.5" customHeight="1" x14ac:dyDescent="0.25">
      <c r="A31" s="37"/>
      <c r="B31" s="17" t="s">
        <v>26</v>
      </c>
      <c r="C31" s="18">
        <f t="shared" ref="C31:G31" si="4">SUM(C5:C11)</f>
        <v>23418718.645</v>
      </c>
      <c r="D31" s="18">
        <f t="shared" si="4"/>
        <v>1594293.3570000001</v>
      </c>
      <c r="E31" s="18">
        <f t="shared" si="4"/>
        <v>45540.570605983812</v>
      </c>
      <c r="F31" s="18">
        <f t="shared" si="4"/>
        <v>1082912.9699965746</v>
      </c>
      <c r="G31" s="6">
        <f t="shared" si="4"/>
        <v>20695971.747397441</v>
      </c>
      <c r="H31" s="107"/>
    </row>
    <row r="32" spans="1:14" ht="13.5" customHeight="1" x14ac:dyDescent="0.25">
      <c r="A32" s="37"/>
      <c r="B32" s="19" t="s">
        <v>27</v>
      </c>
      <c r="C32" s="5">
        <f t="shared" ref="C32:G32" si="5">SUM(C12:C15)</f>
        <v>8579086.4929999989</v>
      </c>
      <c r="D32" s="5">
        <f t="shared" si="5"/>
        <v>683066.63800000004</v>
      </c>
      <c r="E32" s="5">
        <f t="shared" si="5"/>
        <v>-154814.68320498173</v>
      </c>
      <c r="F32" s="5">
        <f t="shared" si="5"/>
        <v>823340.76958461944</v>
      </c>
      <c r="G32" s="8">
        <f t="shared" si="5"/>
        <v>7227493.7686203625</v>
      </c>
      <c r="H32" s="107"/>
    </row>
    <row r="33" spans="1:8" ht="13.5" customHeight="1" x14ac:dyDescent="0.25">
      <c r="A33" s="37"/>
      <c r="B33" s="19" t="s">
        <v>28</v>
      </c>
      <c r="C33" s="5">
        <f t="shared" ref="C33:G33" si="6">SUM(C16:C21)</f>
        <v>15246478.785000002</v>
      </c>
      <c r="D33" s="5">
        <f t="shared" si="6"/>
        <v>961948.16100000008</v>
      </c>
      <c r="E33" s="5">
        <f t="shared" si="6"/>
        <v>32426.986369818427</v>
      </c>
      <c r="F33" s="5">
        <f t="shared" si="6"/>
        <v>5582.1639999999998</v>
      </c>
      <c r="G33" s="8">
        <f t="shared" si="6"/>
        <v>14246521.473630182</v>
      </c>
      <c r="H33" s="107"/>
    </row>
    <row r="34" spans="1:8" ht="13.5" customHeight="1" x14ac:dyDescent="0.25">
      <c r="A34" s="37"/>
      <c r="B34" s="19" t="s">
        <v>29</v>
      </c>
      <c r="C34" s="5">
        <f t="shared" ref="C34:G34" si="7">SUM(C22:C26)</f>
        <v>14550139.5</v>
      </c>
      <c r="D34" s="5">
        <f t="shared" si="7"/>
        <v>848106.4580000001</v>
      </c>
      <c r="E34" s="5">
        <f t="shared" si="7"/>
        <v>18991.954089290346</v>
      </c>
      <c r="F34" s="5">
        <f t="shared" si="7"/>
        <v>206441.69639381705</v>
      </c>
      <c r="G34" s="8">
        <f t="shared" si="7"/>
        <v>13476599.391516892</v>
      </c>
      <c r="H34" s="107"/>
    </row>
    <row r="35" spans="1:8" ht="13.5" customHeight="1" x14ac:dyDescent="0.25">
      <c r="A35" s="38"/>
      <c r="B35" s="20" t="s">
        <v>30</v>
      </c>
      <c r="C35" s="10">
        <f t="shared" ref="C35:G35" si="8">+SUM(C27:C28)</f>
        <v>6113690.6310000001</v>
      </c>
      <c r="D35" s="10">
        <f t="shared" si="8"/>
        <v>446660.071</v>
      </c>
      <c r="E35" s="10">
        <f t="shared" si="8"/>
        <v>15157.893532698392</v>
      </c>
      <c r="F35" s="10">
        <f t="shared" si="8"/>
        <v>196.22399999999999</v>
      </c>
      <c r="G35" s="21">
        <f t="shared" si="8"/>
        <v>5651676.4424673021</v>
      </c>
      <c r="H35" s="107"/>
    </row>
    <row r="36" spans="1:8" ht="13.5" customHeight="1" x14ac:dyDescent="0.25">
      <c r="A36" s="38"/>
      <c r="B36" s="13" t="s">
        <v>14</v>
      </c>
      <c r="C36" s="22">
        <f t="shared" ref="C36:G36" si="9">SUM(C31:C35)</f>
        <v>67908114.054000005</v>
      </c>
      <c r="D36" s="22">
        <f t="shared" si="9"/>
        <v>4534074.6850000005</v>
      </c>
      <c r="E36" s="22">
        <f t="shared" si="9"/>
        <v>-42697.278607190761</v>
      </c>
      <c r="F36" s="22">
        <f t="shared" si="9"/>
        <v>2118473.8239750112</v>
      </c>
      <c r="G36" s="23">
        <f t="shared" si="9"/>
        <v>61298262.823632181</v>
      </c>
      <c r="H36" s="107"/>
    </row>
    <row r="37" spans="1:8" ht="13.5" customHeight="1" x14ac:dyDescent="0.25">
      <c r="H37" s="107"/>
    </row>
    <row r="38" spans="1:8" ht="13.5" customHeight="1" x14ac:dyDescent="0.25">
      <c r="H38" s="107"/>
    </row>
    <row r="39" spans="1:8" ht="13.5" customHeight="1" x14ac:dyDescent="0.25"/>
    <row r="40" spans="1:8" ht="13.5" customHeight="1" x14ac:dyDescent="0.25"/>
    <row r="41" spans="1:8" ht="13.5" customHeight="1" x14ac:dyDescent="0.25"/>
    <row r="42" spans="1:8" ht="13.5" customHeight="1" x14ac:dyDescent="0.25"/>
    <row r="43" spans="1:8" ht="13.5" customHeight="1" x14ac:dyDescent="0.25"/>
    <row r="44" spans="1:8" ht="13.5" customHeight="1" x14ac:dyDescent="0.25"/>
  </sheetData>
  <pageMargins left="0.51181102362204722" right="0.43307086614173229" top="0.51181102362204722" bottom="0.19685039370078741" header="0.23622047244094491" footer="0.23622047244094491"/>
  <pageSetup paperSize="9" scale="76" orientation="landscape" cellComments="asDisplayed" horizontalDpi="300" verticalDpi="300" r:id="rId1"/>
  <headerFooter alignWithMargins="0">
    <oddHeader>&amp;CSide &amp;P / &amp;N</oddHeader>
  </headerFooter>
  <ignoredErrors>
    <ignoredError sqref="C31:G35" formulaRange="1"/>
    <ignoredError sqref="G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zoomScaleNormal="100" workbookViewId="0"/>
  </sheetViews>
  <sheetFormatPr defaultColWidth="8.81640625" defaultRowHeight="11.5" x14ac:dyDescent="0.25"/>
  <cols>
    <col min="1" max="1" width="8.54296875" style="104" customWidth="1"/>
    <col min="2" max="2" width="39.26953125" style="104" customWidth="1"/>
    <col min="3" max="7" width="12.81640625" style="104" customWidth="1"/>
    <col min="8" max="8" width="6.81640625" style="104" customWidth="1"/>
    <col min="9" max="16384" width="8.81640625" style="104"/>
  </cols>
  <sheetData>
    <row r="1" spans="1:16" ht="15.5" x14ac:dyDescent="0.35">
      <c r="A1" s="72" t="str">
        <f>'Skema1-7_2017'!A1</f>
        <v>Offentliggjort 9. marts 2021</v>
      </c>
    </row>
    <row r="2" spans="1:16" ht="13.5" customHeight="1" x14ac:dyDescent="0.3">
      <c r="A2" s="105" t="s">
        <v>91</v>
      </c>
    </row>
    <row r="3" spans="1:16" ht="13.5" customHeight="1" x14ac:dyDescent="0.3">
      <c r="A3" s="90" t="s">
        <v>44</v>
      </c>
    </row>
    <row r="4" spans="1:16" ht="54" customHeight="1" x14ac:dyDescent="0.25">
      <c r="A4" s="73" t="s">
        <v>6</v>
      </c>
      <c r="B4" s="73" t="s">
        <v>0</v>
      </c>
      <c r="C4" s="12" t="s">
        <v>33</v>
      </c>
      <c r="D4" s="12" t="s">
        <v>21</v>
      </c>
      <c r="E4" s="12" t="s">
        <v>24</v>
      </c>
      <c r="F4" s="12" t="s">
        <v>41</v>
      </c>
      <c r="G4" s="12" t="s">
        <v>31</v>
      </c>
      <c r="I4" s="174"/>
      <c r="L4" s="107"/>
    </row>
    <row r="5" spans="1:16" ht="13.5" customHeight="1" x14ac:dyDescent="0.3">
      <c r="A5" s="74">
        <f>+'(skema1-7_2017 - 17pl)'!A5</f>
        <v>1301</v>
      </c>
      <c r="B5" s="4" t="str">
        <f>+'(skema1-7_2017 - 17pl)'!B5</f>
        <v>Rigshospitalet</v>
      </c>
      <c r="C5" s="29">
        <v>9042361.0260000005</v>
      </c>
      <c r="D5" s="29">
        <v>1056787.9310000001</v>
      </c>
      <c r="E5" s="29">
        <v>28590.789171237499</v>
      </c>
      <c r="F5" s="29"/>
      <c r="G5" s="29">
        <f t="shared" ref="G5:G11" si="0">C5-SUM(D5:F5)</f>
        <v>7956982.3058287632</v>
      </c>
      <c r="H5" s="52"/>
      <c r="I5" s="161"/>
      <c r="J5" s="106"/>
      <c r="K5" s="106"/>
      <c r="L5" s="161"/>
      <c r="N5" s="106"/>
      <c r="P5" s="106"/>
    </row>
    <row r="6" spans="1:16" ht="13.5" customHeight="1" x14ac:dyDescent="0.3">
      <c r="A6" s="75">
        <f>+'(skema1-7_2017 - 17pl)'!A6</f>
        <v>1309</v>
      </c>
      <c r="B6" s="7" t="str">
        <f>+'(skema1-7_2017 - 17pl)'!B6</f>
        <v>Bispebjerg og Frederiksberg Hospital</v>
      </c>
      <c r="C6" s="29">
        <v>2402737.12</v>
      </c>
      <c r="D6" s="29">
        <v>105654.586</v>
      </c>
      <c r="E6" s="29">
        <v>3077.5349110702518</v>
      </c>
      <c r="F6" s="29"/>
      <c r="G6" s="29">
        <f t="shared" si="0"/>
        <v>2294004.99908893</v>
      </c>
      <c r="H6" s="52"/>
      <c r="I6" s="161"/>
      <c r="J6" s="106"/>
      <c r="K6" s="106"/>
      <c r="L6" s="161"/>
      <c r="N6" s="106"/>
      <c r="P6" s="106"/>
    </row>
    <row r="7" spans="1:16" ht="13.5" customHeight="1" x14ac:dyDescent="0.3">
      <c r="A7" s="75">
        <f>+'(skema1-7_2017 - 17pl)'!A7</f>
        <v>1330</v>
      </c>
      <c r="B7" s="7" t="str">
        <f>+'(skema1-7_2017 - 17pl)'!B7</f>
        <v>Amager og Hvidovre Hospital</v>
      </c>
      <c r="C7" s="29">
        <v>3003624.9219999998</v>
      </c>
      <c r="D7" s="29">
        <v>59300.207000000002</v>
      </c>
      <c r="E7" s="29">
        <v>-396.65347958682105</v>
      </c>
      <c r="F7" s="29"/>
      <c r="G7" s="29">
        <f t="shared" si="0"/>
        <v>2944721.3684795867</v>
      </c>
      <c r="H7" s="52"/>
      <c r="I7" s="161"/>
      <c r="J7" s="106"/>
      <c r="K7" s="106"/>
      <c r="L7" s="161"/>
      <c r="N7" s="106"/>
      <c r="P7" s="106"/>
    </row>
    <row r="8" spans="1:16" ht="13.5" customHeight="1" x14ac:dyDescent="0.3">
      <c r="A8" s="75">
        <f>+'(skema1-7_2017 - 17pl)'!A8</f>
        <v>1516</v>
      </c>
      <c r="B8" s="7" t="str">
        <f>+'(skema1-7_2017 - 17pl)'!B8</f>
        <v>Herlev og Gentofte Hospital</v>
      </c>
      <c r="C8" s="29">
        <v>5585988</v>
      </c>
      <c r="D8" s="29">
        <v>407303.17800000001</v>
      </c>
      <c r="E8" s="29">
        <v>5941.8513230425306</v>
      </c>
      <c r="F8" s="29"/>
      <c r="G8" s="29">
        <f t="shared" si="0"/>
        <v>5172742.9706769576</v>
      </c>
      <c r="H8" s="52"/>
      <c r="I8" s="161"/>
      <c r="J8" s="106"/>
      <c r="K8" s="106"/>
      <c r="L8" s="161"/>
      <c r="N8" s="106"/>
      <c r="P8" s="106"/>
    </row>
    <row r="9" spans="1:16" ht="13.5" customHeight="1" x14ac:dyDescent="0.3">
      <c r="A9" s="75">
        <f>+'(skema1-7_2017 - 17pl)'!A9</f>
        <v>1507</v>
      </c>
      <c r="B9" s="7" t="str">
        <f>+'(skema1-7_2017 - 17pl)'!B9</f>
        <v>Steno Diabetes Center Copenhagen</v>
      </c>
      <c r="C9" s="29">
        <v>78801.460999999996</v>
      </c>
      <c r="D9" s="29">
        <v>7.3040000000000003</v>
      </c>
      <c r="E9" s="29">
        <v>0</v>
      </c>
      <c r="F9" s="29"/>
      <c r="G9" s="29">
        <f t="shared" ref="G9" si="1">C9-SUM(D9:F9)</f>
        <v>78794.156999999992</v>
      </c>
      <c r="H9" s="52"/>
      <c r="I9" s="161"/>
      <c r="J9" s="106"/>
      <c r="K9" s="106"/>
      <c r="L9" s="161"/>
      <c r="N9" s="106"/>
      <c r="P9" s="106"/>
    </row>
    <row r="10" spans="1:16" ht="13.5" customHeight="1" x14ac:dyDescent="0.3">
      <c r="A10" s="75">
        <f>+'(skema1-7_2017 - 17pl)'!A10</f>
        <v>2000</v>
      </c>
      <c r="B10" s="7" t="str">
        <f>+'(skema1-7_2017 - 17pl)'!B10</f>
        <v>Nordsjællands Hospital</v>
      </c>
      <c r="C10" s="29">
        <v>2687172.8420000002</v>
      </c>
      <c r="D10" s="29">
        <v>92555.926999999996</v>
      </c>
      <c r="E10" s="29">
        <v>3622.1364115104079</v>
      </c>
      <c r="F10" s="29"/>
      <c r="G10" s="29">
        <f t="shared" si="0"/>
        <v>2590994.7785884896</v>
      </c>
      <c r="H10" s="52"/>
      <c r="I10" s="161"/>
      <c r="J10" s="106"/>
      <c r="K10" s="106"/>
      <c r="L10" s="161"/>
      <c r="N10" s="106"/>
      <c r="P10" s="106"/>
    </row>
    <row r="11" spans="1:16" ht="13.5" customHeight="1" x14ac:dyDescent="0.3">
      <c r="A11" s="75">
        <f>+'(skema1-7_2017 - 17pl)'!A11</f>
        <v>4001</v>
      </c>
      <c r="B11" s="7" t="str">
        <f>+'(skema1-7_2017 - 17pl)'!B11</f>
        <v>Bornholms Hospital</v>
      </c>
      <c r="C11" s="29">
        <v>369633.51799999998</v>
      </c>
      <c r="D11" s="29">
        <v>18879.385999999999</v>
      </c>
      <c r="E11" s="29">
        <v>401.57890389827662</v>
      </c>
      <c r="F11" s="29"/>
      <c r="G11" s="29">
        <f t="shared" si="0"/>
        <v>350352.55309610174</v>
      </c>
      <c r="H11" s="52"/>
      <c r="I11" s="161"/>
      <c r="K11" s="106"/>
      <c r="L11" s="161"/>
      <c r="N11" s="106"/>
      <c r="P11" s="106"/>
    </row>
    <row r="12" spans="1:16" ht="13.5" customHeight="1" x14ac:dyDescent="0.3">
      <c r="A12" s="75">
        <f>+'(skema1-7_2017 - 17pl)'!A12</f>
        <v>3810</v>
      </c>
      <c r="B12" s="7" t="str">
        <f>+'(skema1-7_2017 - 17pl)'!B12</f>
        <v>Sjællands Universitetshospital</v>
      </c>
      <c r="C12" s="29">
        <v>4116059</v>
      </c>
      <c r="D12" s="29">
        <v>605703.84199999995</v>
      </c>
      <c r="E12" s="29">
        <v>-53858.552282886812</v>
      </c>
      <c r="F12" s="29"/>
      <c r="G12" s="29">
        <f t="shared" ref="G12:G28" si="2">C12-SUM(D12:F12)</f>
        <v>3564213.7102828869</v>
      </c>
      <c r="H12" s="52"/>
      <c r="I12" s="108"/>
      <c r="K12" s="106"/>
      <c r="L12" s="161"/>
      <c r="N12" s="106"/>
      <c r="P12" s="106"/>
    </row>
    <row r="13" spans="1:16" ht="13.5" customHeight="1" x14ac:dyDescent="0.3">
      <c r="A13" s="75">
        <f>+'(skema1-7_2017 - 17pl)'!A13</f>
        <v>3820</v>
      </c>
      <c r="B13" s="7" t="str">
        <f>+'(skema1-7_2017 - 17pl)'!B13</f>
        <v>Holbæk Sygehus</v>
      </c>
      <c r="C13" s="29">
        <v>1165644.7879999999</v>
      </c>
      <c r="D13" s="29">
        <v>24994.652999999998</v>
      </c>
      <c r="E13" s="29">
        <v>-21781.440080438741</v>
      </c>
      <c r="F13" s="29"/>
      <c r="G13" s="29">
        <f t="shared" si="2"/>
        <v>1162431.5750804387</v>
      </c>
      <c r="H13" s="52"/>
      <c r="I13" s="108"/>
      <c r="K13" s="106"/>
      <c r="L13" s="161"/>
      <c r="N13" s="106"/>
      <c r="P13" s="106"/>
    </row>
    <row r="14" spans="1:16" ht="13.5" customHeight="1" x14ac:dyDescent="0.3">
      <c r="A14" s="75">
        <f>+'(skema1-7_2017 - 17pl)'!A14</f>
        <v>3830</v>
      </c>
      <c r="B14" s="7" t="str">
        <f>+'(skema1-7_2017 - 17pl)'!B14</f>
        <v>Næstved, Slagelse og Ringsted sygehuse</v>
      </c>
      <c r="C14" s="29">
        <v>1802270.115</v>
      </c>
      <c r="D14" s="29">
        <v>39181.699999999997</v>
      </c>
      <c r="E14" s="29">
        <v>-27697.251710554818</v>
      </c>
      <c r="F14" s="29"/>
      <c r="G14" s="29">
        <f t="shared" si="2"/>
        <v>1790785.6667105549</v>
      </c>
      <c r="H14" s="52"/>
      <c r="I14" s="108"/>
      <c r="K14" s="106"/>
      <c r="L14" s="161"/>
      <c r="N14" s="106"/>
      <c r="P14" s="106"/>
    </row>
    <row r="15" spans="1:16" ht="13.5" customHeight="1" x14ac:dyDescent="0.3">
      <c r="A15" s="75">
        <f>+'(skema1-7_2017 - 17pl)'!A15</f>
        <v>3840</v>
      </c>
      <c r="B15" s="7" t="str">
        <f>+'(skema1-7_2017 - 17pl)'!B15</f>
        <v>Nykøbing Sygehus</v>
      </c>
      <c r="C15" s="29">
        <v>783460.69099999999</v>
      </c>
      <c r="D15" s="29">
        <v>22852.240000000002</v>
      </c>
      <c r="E15" s="29">
        <v>-27790.569169069699</v>
      </c>
      <c r="F15" s="29"/>
      <c r="G15" s="29">
        <f t="shared" si="2"/>
        <v>788399.02016906964</v>
      </c>
      <c r="H15" s="52"/>
      <c r="I15" s="108"/>
      <c r="K15" s="106"/>
      <c r="L15" s="161"/>
      <c r="N15" s="106"/>
      <c r="P15" s="106"/>
    </row>
    <row r="16" spans="1:16" ht="13.5" customHeight="1" x14ac:dyDescent="0.3">
      <c r="A16" s="75">
        <f>+'(skema1-7_2017 - 17pl)'!A16</f>
        <v>4202</v>
      </c>
      <c r="B16" s="7" t="str">
        <f>+'(skema1-7_2017 - 17pl)'!B16</f>
        <v>Odense Universitetshospital</v>
      </c>
      <c r="C16" s="29">
        <v>7783939.8049999997</v>
      </c>
      <c r="D16" s="29">
        <v>625402.92500000005</v>
      </c>
      <c r="E16" s="29">
        <v>8854.3580282633193</v>
      </c>
      <c r="F16" s="29"/>
      <c r="G16" s="29">
        <f t="shared" si="2"/>
        <v>7149682.5219717361</v>
      </c>
      <c r="H16" s="52"/>
      <c r="I16" s="107"/>
      <c r="K16" s="106"/>
      <c r="L16" s="161"/>
      <c r="N16" s="106"/>
      <c r="P16" s="106"/>
    </row>
    <row r="17" spans="1:16" ht="13.5" customHeight="1" x14ac:dyDescent="0.3">
      <c r="A17" s="75">
        <f>+'(skema1-7_2017 - 17pl)'!A17</f>
        <v>5000</v>
      </c>
      <c r="B17" s="7" t="str">
        <f>+'(skema1-7_2017 - 17pl)'!B17</f>
        <v>Sygehus Sønderjylland</v>
      </c>
      <c r="C17" s="29">
        <v>2030398.9839999999</v>
      </c>
      <c r="D17" s="29">
        <v>81174.407000000007</v>
      </c>
      <c r="E17" s="29">
        <v>2219.7884156816872</v>
      </c>
      <c r="F17" s="29"/>
      <c r="G17" s="29">
        <f t="shared" si="2"/>
        <v>1947004.7885843182</v>
      </c>
      <c r="H17" s="52"/>
      <c r="I17" s="108"/>
      <c r="K17" s="106"/>
      <c r="L17" s="161"/>
      <c r="N17" s="106"/>
      <c r="P17" s="106"/>
    </row>
    <row r="18" spans="1:16" ht="13.5" customHeight="1" x14ac:dyDescent="0.3">
      <c r="A18" s="75">
        <f>+'(skema1-7_2017 - 17pl)'!A18</f>
        <v>5501</v>
      </c>
      <c r="B18" s="7" t="str">
        <f>+'(skema1-7_2017 - 17pl)'!B18</f>
        <v>Sydvestjysk Sygehus</v>
      </c>
      <c r="C18" s="29">
        <v>2101019.7390000001</v>
      </c>
      <c r="D18" s="29">
        <v>85409.467000000004</v>
      </c>
      <c r="E18" s="29">
        <v>2111.3455721534556</v>
      </c>
      <c r="F18" s="29"/>
      <c r="G18" s="29">
        <f t="shared" si="2"/>
        <v>2013498.9264278465</v>
      </c>
      <c r="H18" s="52"/>
      <c r="I18" s="108"/>
      <c r="K18" s="106"/>
      <c r="L18" s="161"/>
      <c r="N18" s="106"/>
      <c r="P18" s="106"/>
    </row>
    <row r="19" spans="1:16" ht="13.5" customHeight="1" x14ac:dyDescent="0.3">
      <c r="A19" s="75">
        <f>+'(skema1-7_2017 - 17pl)'!A19</f>
        <v>6007</v>
      </c>
      <c r="B19" s="7" t="str">
        <f>+'(skema1-7_2017 - 17pl)'!B19</f>
        <v>Fredericia og Kolding sygehuse</v>
      </c>
      <c r="C19" s="29">
        <v>1601706.165</v>
      </c>
      <c r="D19" s="29">
        <v>28984.683000000001</v>
      </c>
      <c r="E19" s="29">
        <v>14967.706424253294</v>
      </c>
      <c r="F19" s="29"/>
      <c r="G19" s="29">
        <f t="shared" si="2"/>
        <v>1557753.7755757468</v>
      </c>
      <c r="H19" s="52"/>
      <c r="I19" s="108"/>
      <c r="K19" s="106"/>
      <c r="L19" s="161"/>
      <c r="N19" s="106"/>
      <c r="P19" s="106"/>
    </row>
    <row r="20" spans="1:16" ht="13.5" customHeight="1" x14ac:dyDescent="0.3">
      <c r="A20" s="75">
        <f>+'(skema1-7_2017 - 17pl)'!A20</f>
        <v>6008</v>
      </c>
      <c r="B20" s="7" t="str">
        <f>+'(skema1-7_2017 - 17pl)'!B20</f>
        <v>Vejle-Give-Middelfart sygehuse</v>
      </c>
      <c r="C20" s="29">
        <v>2101035.8450000002</v>
      </c>
      <c r="D20" s="29">
        <v>244196.682</v>
      </c>
      <c r="E20" s="29">
        <v>9410.4451687865658</v>
      </c>
      <c r="F20" s="29"/>
      <c r="G20" s="29">
        <f t="shared" si="2"/>
        <v>1847428.7178312137</v>
      </c>
      <c r="H20" s="52"/>
      <c r="I20" s="108"/>
      <c r="K20" s="106"/>
      <c r="L20" s="161"/>
      <c r="N20" s="106"/>
      <c r="P20" s="106"/>
    </row>
    <row r="21" spans="1:16" ht="13.5" customHeight="1" x14ac:dyDescent="0.3">
      <c r="A21" s="75">
        <f>+'(skema1-7_2017 - 17pl)'!A21</f>
        <v>6013</v>
      </c>
      <c r="B21" s="7" t="str">
        <f>+'(skema1-7_2017 - 17pl)'!B21</f>
        <v>De Vestdanske Friklinikker, Give</v>
      </c>
      <c r="C21" s="29">
        <v>94174.774000000005</v>
      </c>
      <c r="D21" s="29">
        <v>241.637</v>
      </c>
      <c r="E21" s="29">
        <v>17.848906329742022</v>
      </c>
      <c r="F21" s="29"/>
      <c r="G21" s="29">
        <f t="shared" si="2"/>
        <v>93915.288093670257</v>
      </c>
      <c r="H21" s="52"/>
      <c r="I21" s="108"/>
      <c r="K21" s="106"/>
      <c r="L21" s="161"/>
      <c r="N21" s="106"/>
      <c r="P21" s="106"/>
    </row>
    <row r="22" spans="1:16" ht="13.5" customHeight="1" x14ac:dyDescent="0.3">
      <c r="A22" s="75">
        <f>+'(skema1-7_2017 - 17pl)'!A22</f>
        <v>6006</v>
      </c>
      <c r="B22" s="7" t="str">
        <f>+'(skema1-7_2017 - 17pl)'!B22</f>
        <v>Hospitalenheden Horsens</v>
      </c>
      <c r="C22" s="29">
        <v>1225002.29</v>
      </c>
      <c r="D22" s="29">
        <v>21942.569</v>
      </c>
      <c r="E22" s="29">
        <v>1694.2459169334034</v>
      </c>
      <c r="F22" s="29"/>
      <c r="G22" s="29">
        <f t="shared" si="2"/>
        <v>1201365.4750830666</v>
      </c>
      <c r="H22" s="52"/>
      <c r="I22" s="108"/>
      <c r="K22" s="106"/>
      <c r="L22" s="161"/>
      <c r="N22" s="106"/>
      <c r="P22" s="106"/>
    </row>
    <row r="23" spans="1:16" ht="13.5" customHeight="1" x14ac:dyDescent="0.3">
      <c r="A23" s="75">
        <f>+'(skema1-7_2017 - 17pl)'!A23</f>
        <v>6650</v>
      </c>
      <c r="B23" s="7" t="str">
        <f>+'(skema1-7_2017 - 17pl)'!B23</f>
        <v>Hospitalsenheden Vest</v>
      </c>
      <c r="C23" s="29">
        <v>2569290.8689999999</v>
      </c>
      <c r="D23" s="29">
        <v>152135.747</v>
      </c>
      <c r="E23" s="29">
        <v>2902.0837445927318</v>
      </c>
      <c r="F23" s="29"/>
      <c r="G23" s="29">
        <f t="shared" si="2"/>
        <v>2414253.038255407</v>
      </c>
      <c r="H23" s="52"/>
      <c r="I23" s="108"/>
      <c r="K23" s="106"/>
      <c r="L23" s="161"/>
      <c r="N23" s="106"/>
      <c r="P23" s="106"/>
    </row>
    <row r="24" spans="1:16" ht="13.5" customHeight="1" x14ac:dyDescent="0.3">
      <c r="A24" s="75">
        <f>+'(skema1-7_2017 - 17pl)'!A24</f>
        <v>6620</v>
      </c>
      <c r="B24" s="7" t="str">
        <f>+'(skema1-7_2017 - 17pl)'!B24</f>
        <v>Aarhus Universitetshospital</v>
      </c>
      <c r="C24" s="29">
        <v>6641817.04</v>
      </c>
      <c r="D24" s="29">
        <v>636312.64199999999</v>
      </c>
      <c r="E24" s="29">
        <v>8304.378744197078</v>
      </c>
      <c r="F24" s="29"/>
      <c r="G24" s="29">
        <f t="shared" si="2"/>
        <v>5997200.019255803</v>
      </c>
      <c r="H24" s="52"/>
      <c r="I24" s="108"/>
      <c r="K24" s="106"/>
      <c r="L24" s="161"/>
      <c r="N24" s="106"/>
      <c r="P24" s="106"/>
    </row>
    <row r="25" spans="1:16" ht="13.5" customHeight="1" x14ac:dyDescent="0.3">
      <c r="A25" s="75">
        <f>+'(skema1-7_2017 - 17pl)'!A25</f>
        <v>7005</v>
      </c>
      <c r="B25" s="7" t="str">
        <f>+'(skema1-7_2017 - 17pl)'!B25</f>
        <v>Regionshospitalet Randers</v>
      </c>
      <c r="C25" s="29">
        <v>1351199.6629999999</v>
      </c>
      <c r="D25" s="29">
        <v>13981.588</v>
      </c>
      <c r="E25" s="29">
        <v>1737.0616204753751</v>
      </c>
      <c r="F25" s="29"/>
      <c r="G25" s="29">
        <f t="shared" si="2"/>
        <v>1335481.0133795245</v>
      </c>
      <c r="H25" s="52"/>
      <c r="I25" s="108"/>
      <c r="K25" s="106"/>
      <c r="L25" s="161"/>
      <c r="N25" s="106"/>
      <c r="P25" s="106"/>
    </row>
    <row r="26" spans="1:16" ht="13.5" customHeight="1" x14ac:dyDescent="0.3">
      <c r="A26" s="75">
        <f>+'(skema1-7_2017 - 17pl)'!A26</f>
        <v>6630</v>
      </c>
      <c r="B26" s="7" t="str">
        <f>+'(skema1-7_2017 - 17pl)'!B26</f>
        <v>Hospitalsenhed Midt</v>
      </c>
      <c r="C26" s="29">
        <v>2692892.5610000002</v>
      </c>
      <c r="D26" s="29">
        <v>80206.195000000007</v>
      </c>
      <c r="E26" s="29">
        <v>3657.4596896935254</v>
      </c>
      <c r="F26" s="29"/>
      <c r="G26" s="29">
        <f t="shared" si="2"/>
        <v>2609028.9063103069</v>
      </c>
      <c r="H26" s="52"/>
      <c r="I26" s="108"/>
      <c r="K26" s="106"/>
      <c r="L26" s="161"/>
      <c r="N26" s="106"/>
      <c r="P26" s="106"/>
    </row>
    <row r="27" spans="1:16" ht="13.5" customHeight="1" x14ac:dyDescent="0.3">
      <c r="A27" s="75">
        <f>+'(skema1-7_2017 - 17pl)'!A27</f>
        <v>8001</v>
      </c>
      <c r="B27" s="7" t="str">
        <f>+'(skema1-7_2017 - 17pl)'!B27</f>
        <v>Aalborg Universitetshospital</v>
      </c>
      <c r="C27" s="29">
        <v>5116043.62</v>
      </c>
      <c r="D27" s="29">
        <v>438316.28600000002</v>
      </c>
      <c r="E27" s="29">
        <v>32474.258055921178</v>
      </c>
      <c r="F27" s="29"/>
      <c r="G27" s="29">
        <f>C27-SUM(D27:F27)</f>
        <v>4645253.0759440791</v>
      </c>
      <c r="H27" s="52"/>
      <c r="I27" s="108"/>
      <c r="K27" s="106"/>
      <c r="L27" s="161"/>
      <c r="N27" s="106"/>
      <c r="P27" s="106"/>
    </row>
    <row r="28" spans="1:16" ht="13.5" customHeight="1" x14ac:dyDescent="0.3">
      <c r="A28" s="75">
        <f>+'(skema1-7_2017 - 17pl)'!A28</f>
        <v>8003</v>
      </c>
      <c r="B28" s="7" t="str">
        <f>+'(skema1-7_2017 - 17pl)'!B28</f>
        <v>Regionshospitalet Nordjylland</v>
      </c>
      <c r="C28" s="29">
        <v>1150650.7169999999</v>
      </c>
      <c r="D28" s="29">
        <v>84001.14</v>
      </c>
      <c r="E28" s="29">
        <v>1539.5957144933054</v>
      </c>
      <c r="F28" s="29"/>
      <c r="G28" s="29">
        <f t="shared" si="2"/>
        <v>1065109.9812855066</v>
      </c>
      <c r="H28" s="52"/>
      <c r="I28" s="108"/>
      <c r="K28" s="106"/>
      <c r="L28" s="161"/>
      <c r="N28" s="106"/>
      <c r="P28" s="106"/>
    </row>
    <row r="29" spans="1:16" ht="13.5" customHeight="1" x14ac:dyDescent="0.25">
      <c r="A29" s="13"/>
      <c r="B29" s="13" t="s">
        <v>14</v>
      </c>
      <c r="C29" s="14">
        <f t="shared" ref="C29:G29" si="3">SUM(C5:C28)</f>
        <v>67496925.554999992</v>
      </c>
      <c r="D29" s="14">
        <f t="shared" si="3"/>
        <v>4925526.9220000012</v>
      </c>
      <c r="E29" s="14">
        <f t="shared" si="3"/>
        <v>-3.2596290111541748E-9</v>
      </c>
      <c r="F29" s="14">
        <f t="shared" si="3"/>
        <v>0</v>
      </c>
      <c r="G29" s="14">
        <f t="shared" si="3"/>
        <v>62571398.633000016</v>
      </c>
      <c r="H29" s="107"/>
      <c r="I29" s="107"/>
      <c r="J29" s="106"/>
    </row>
    <row r="30" spans="1:16" ht="13.5" customHeight="1" x14ac:dyDescent="0.25">
      <c r="A30" s="37"/>
      <c r="B30" s="15"/>
      <c r="C30" s="16"/>
      <c r="D30" s="16"/>
      <c r="E30" s="16"/>
      <c r="F30" s="16"/>
      <c r="G30" s="16"/>
      <c r="H30" s="107"/>
      <c r="I30" s="107"/>
    </row>
    <row r="31" spans="1:16" ht="13.5" customHeight="1" x14ac:dyDescent="0.25">
      <c r="A31" s="37"/>
      <c r="B31" s="17" t="s">
        <v>26</v>
      </c>
      <c r="C31" s="18">
        <f t="shared" ref="C31:G31" si="4">SUM(C5:C11)</f>
        <v>23170318.889000002</v>
      </c>
      <c r="D31" s="18">
        <f t="shared" si="4"/>
        <v>1740488.5189999999</v>
      </c>
      <c r="E31" s="18">
        <f t="shared" si="4"/>
        <v>41237.237241172144</v>
      </c>
      <c r="F31" s="18">
        <f t="shared" si="4"/>
        <v>0</v>
      </c>
      <c r="G31" s="6">
        <f t="shared" si="4"/>
        <v>21388593.13275883</v>
      </c>
      <c r="H31" s="107"/>
      <c r="I31" s="107"/>
    </row>
    <row r="32" spans="1:16" ht="13.5" customHeight="1" x14ac:dyDescent="0.25">
      <c r="A32" s="37"/>
      <c r="B32" s="19" t="s">
        <v>27</v>
      </c>
      <c r="C32" s="5">
        <f t="shared" ref="C32:G32" si="5">SUM(C12:C15)</f>
        <v>7867434.5939999996</v>
      </c>
      <c r="D32" s="5">
        <f t="shared" si="5"/>
        <v>692732.43499999994</v>
      </c>
      <c r="E32" s="5">
        <f t="shared" si="5"/>
        <v>-131127.81324295007</v>
      </c>
      <c r="F32" s="5">
        <f t="shared" si="5"/>
        <v>0</v>
      </c>
      <c r="G32" s="8">
        <f t="shared" si="5"/>
        <v>7305829.9722429505</v>
      </c>
      <c r="H32" s="107"/>
      <c r="I32" s="107"/>
    </row>
    <row r="33" spans="1:9" ht="13.5" customHeight="1" x14ac:dyDescent="0.25">
      <c r="A33" s="37"/>
      <c r="B33" s="19" t="s">
        <v>28</v>
      </c>
      <c r="C33" s="5">
        <f t="shared" ref="C33:G33" si="6">SUM(C16:C21)</f>
        <v>15712275.312000001</v>
      </c>
      <c r="D33" s="5">
        <f t="shared" si="6"/>
        <v>1065409.8010000002</v>
      </c>
      <c r="E33" s="5">
        <f t="shared" si="6"/>
        <v>37581.492515468068</v>
      </c>
      <c r="F33" s="5">
        <f t="shared" si="6"/>
        <v>0</v>
      </c>
      <c r="G33" s="8">
        <f t="shared" si="6"/>
        <v>14609284.018484531</v>
      </c>
      <c r="H33" s="107"/>
      <c r="I33" s="107"/>
    </row>
    <row r="34" spans="1:9" ht="13.5" customHeight="1" x14ac:dyDescent="0.25">
      <c r="A34" s="37"/>
      <c r="B34" s="19" t="s">
        <v>29</v>
      </c>
      <c r="C34" s="5">
        <f t="shared" ref="C34:G34" si="7">SUM(C22:C26)</f>
        <v>14480202.423000002</v>
      </c>
      <c r="D34" s="5">
        <f t="shared" si="7"/>
        <v>904578.74099999992</v>
      </c>
      <c r="E34" s="5">
        <f t="shared" si="7"/>
        <v>18295.229715892114</v>
      </c>
      <c r="F34" s="5">
        <f t="shared" si="7"/>
        <v>0</v>
      </c>
      <c r="G34" s="8">
        <f t="shared" si="7"/>
        <v>13557328.452284107</v>
      </c>
      <c r="H34" s="107"/>
      <c r="I34" s="107"/>
    </row>
    <row r="35" spans="1:9" ht="13.5" customHeight="1" x14ac:dyDescent="0.25">
      <c r="A35" s="38"/>
      <c r="B35" s="20" t="s">
        <v>30</v>
      </c>
      <c r="C35" s="10">
        <f t="shared" ref="C35:G35" si="8">+SUM(C27:C28)</f>
        <v>6266694.3370000003</v>
      </c>
      <c r="D35" s="10">
        <f t="shared" si="8"/>
        <v>522317.42600000004</v>
      </c>
      <c r="E35" s="10">
        <f t="shared" si="8"/>
        <v>34013.853770414484</v>
      </c>
      <c r="F35" s="10">
        <f t="shared" si="8"/>
        <v>0</v>
      </c>
      <c r="G35" s="21">
        <f t="shared" si="8"/>
        <v>5710363.0572295859</v>
      </c>
      <c r="H35" s="107"/>
      <c r="I35" s="107"/>
    </row>
    <row r="36" spans="1:9" ht="13.5" customHeight="1" x14ac:dyDescent="0.25">
      <c r="A36" s="38"/>
      <c r="B36" s="13" t="s">
        <v>14</v>
      </c>
      <c r="C36" s="22">
        <f>SUM(C31:C35)</f>
        <v>67496925.555000007</v>
      </c>
      <c r="D36" s="22">
        <f>SUM(D31:D35)</f>
        <v>4925526.9219999993</v>
      </c>
      <c r="E36" s="22">
        <v>0</v>
      </c>
      <c r="F36" s="22">
        <f>SUM(F31:F35)</f>
        <v>0</v>
      </c>
      <c r="G36" s="23">
        <f>SUM(G31:G35)</f>
        <v>62571398.633000001</v>
      </c>
      <c r="H36" s="107"/>
      <c r="I36" s="107"/>
    </row>
    <row r="37" spans="1:9" ht="13.5" customHeight="1" x14ac:dyDescent="0.25">
      <c r="H37" s="107"/>
    </row>
    <row r="38" spans="1:9" ht="13.5" customHeight="1" x14ac:dyDescent="0.25">
      <c r="H38" s="107"/>
    </row>
    <row r="39" spans="1:9" ht="13.5" customHeight="1" x14ac:dyDescent="0.25"/>
    <row r="40" spans="1:9" ht="13.5" customHeight="1" x14ac:dyDescent="0.25"/>
    <row r="41" spans="1:9" ht="13.5" customHeight="1" x14ac:dyDescent="0.25"/>
    <row r="42" spans="1:9" ht="13.5" customHeight="1" x14ac:dyDescent="0.25"/>
    <row r="43" spans="1:9" ht="13.5" customHeight="1" x14ac:dyDescent="0.25"/>
    <row r="44" spans="1:9" ht="13.5" customHeight="1" x14ac:dyDescent="0.25"/>
  </sheetData>
  <pageMargins left="0.51181102362204722" right="0.43307086614173229" top="0.51181102362204722" bottom="0.19685039370078741" header="0.23622047244094491" footer="0.23622047244094491"/>
  <pageSetup paperSize="9" scale="74" orientation="landscape" cellComments="asDisplayed" horizontalDpi="300" verticalDpi="300" r:id="rId1"/>
  <headerFooter alignWithMargins="0">
    <oddHeader>&amp;CSide &amp;P / &amp;N</oddHeader>
  </headerFooter>
  <ignoredErrors>
    <ignoredError sqref="C36:F36 C31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11</vt:i4>
      </vt:variant>
    </vt:vector>
  </HeadingPairs>
  <TitlesOfParts>
    <vt:vector size="23" baseType="lpstr">
      <vt:lpstr>(skema1-7_2017 - 17pl)</vt:lpstr>
      <vt:lpstr>Skema1-7_2017</vt:lpstr>
      <vt:lpstr>Skema1-7_2018</vt:lpstr>
      <vt:lpstr>Skema1-7_forskel</vt:lpstr>
      <vt:lpstr>DTD_17</vt:lpstr>
      <vt:lpstr>DTD_18</vt:lpstr>
      <vt:lpstr>DTD_forskel</vt:lpstr>
      <vt:lpstr>DRG_17</vt:lpstr>
      <vt:lpstr>DRG_18</vt:lpstr>
      <vt:lpstr>DRG_forskel</vt:lpstr>
      <vt:lpstr>produktivitet</vt:lpstr>
      <vt:lpstr>Regionsspecifikke korrektioner</vt:lpstr>
      <vt:lpstr>DRG_17!Print_Area</vt:lpstr>
      <vt:lpstr>DRG_18!Print_Area</vt:lpstr>
      <vt:lpstr>DRG_forskel!Print_Area</vt:lpstr>
      <vt:lpstr>DTD_17!Print_Area</vt:lpstr>
      <vt:lpstr>DTD_18!Print_Area</vt:lpstr>
      <vt:lpstr>DTD_forskel!Print_Area</vt:lpstr>
      <vt:lpstr>produktivitet!Print_Area</vt:lpstr>
      <vt:lpstr>'Skema1-7_2017'!Print_Area</vt:lpstr>
      <vt:lpstr>'Skema1-7_2018'!Print_Area</vt:lpstr>
      <vt:lpstr>'Skema1-7_forskel'!Print_Area</vt:lpstr>
      <vt:lpstr>produktivitet!SAM_07</vt:lpstr>
    </vt:vector>
  </TitlesOfParts>
  <Company>Indenrigs- og Sundhedsministeriet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raaj</dc:creator>
  <cp:lastModifiedBy>Anders Rud Svenning</cp:lastModifiedBy>
  <cp:lastPrinted>2020-02-18T09:34:58Z</cp:lastPrinted>
  <dcterms:created xsi:type="dcterms:W3CDTF">2008-06-30T12:44:49Z</dcterms:created>
  <dcterms:modified xsi:type="dcterms:W3CDTF">2021-03-08T12:59:58Z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th">
    <vt:lpwstr>C:\DOCUME~1\sumraaj\LOKALE~1\Temp\SJ20100421115435633 (DOK195446).XLSX</vt:lpwstr>
  </property>
  <property fmtid="{D5CDD505-2E9C-101B-9397-08002B2CF9AE}" pid="3" name="title">
    <vt:lpwstr>Produktivitet - endelig opgørelse - DATA OPDATERES HER! (DOC 1)</vt:lpwstr>
  </property>
  <property fmtid="{D5CDD505-2E9C-101B-9397-08002B2CF9AE}" pid="4" name="command">
    <vt:lpwstr/>
  </property>
</Properties>
</file>