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tables/table1.xml" ContentType="application/vnd.openxmlformats-officedocument.spreadsheetml.table+xml"/>
  <Override PartName="/xl/customProperty12.bin" ContentType="application/vnd.openxmlformats-officedocument.spreadsheetml.customProperty"/>
  <Override PartName="/xl/tables/table2.xml" ContentType="application/vnd.openxmlformats-officedocument.spreadsheetml.table+xml"/>
  <Override PartName="/xl/customProperty13.bin" ContentType="application/vnd.openxmlformats-officedocument.spreadsheetml.customProperty"/>
  <Override PartName="/xl/comments1.xml" ContentType="application/vnd.openxmlformats-officedocument.spreadsheetml.comments+xml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NSF\De Tilrettede Driftsudgifter\Data 2020\Til hjemmesiden\"/>
    </mc:Choice>
  </mc:AlternateContent>
  <xr:revisionPtr revIDLastSave="0" documentId="13_ncr:1_{B0A01813-5B42-40B1-BF53-62380BA2B608}" xr6:coauthVersionLast="36" xr6:coauthVersionMax="36" xr10:uidLastSave="{00000000-0000-0000-0000-000000000000}"/>
  <bookViews>
    <workbookView xWindow="0" yWindow="0" windowWidth="38400" windowHeight="1698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2019" sheetId="24" state="hidden" r:id="rId12"/>
    <sheet name="2020" sheetId="25" state="hidden" r:id="rId13"/>
    <sheet name="Ark1" sheetId="23" state="hidden" r:id="rId14"/>
    <sheet name="leasing, indtægter,tolke" sheetId="22" state="veryHidden" r:id="rId15"/>
  </sheets>
  <externalReferences>
    <externalReference r:id="rId16"/>
  </externalReference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3'!$A$5:$A$68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6'!$A$5:$A$392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3'!$A$1:$I$33</definedName>
    <definedName name="_xlnm.Print_Area" localSheetId="3">'Skema 4'!$1:$20</definedName>
    <definedName name="_xlnm.Print_Area" localSheetId="4">'Skema 5'!$A$1:$I$20</definedName>
    <definedName name="_xlnm.Print_Area" localSheetId="5">'Skema 6'!$A$1:$I$177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1" i="14" l="1"/>
  <c r="C71" i="14"/>
  <c r="E519" i="25"/>
  <c r="E533" i="25"/>
  <c r="E538" i="25"/>
  <c r="G559" i="25"/>
  <c r="F559" i="25"/>
  <c r="E558" i="25"/>
  <c r="E559" i="25"/>
  <c r="F557" i="25"/>
  <c r="E557" i="25"/>
  <c r="E514" i="25"/>
  <c r="G502" i="25"/>
  <c r="E117" i="25"/>
  <c r="E114" i="25"/>
  <c r="E113" i="25"/>
  <c r="H113" i="25"/>
  <c r="G113" i="25"/>
  <c r="F112" i="25"/>
  <c r="C157" i="14"/>
  <c r="C156" i="14"/>
  <c r="C155" i="14"/>
  <c r="I621" i="25"/>
  <c r="C15" i="14"/>
  <c r="F90" i="25"/>
  <c r="C11" i="14"/>
  <c r="K85" i="25"/>
  <c r="G79" i="25"/>
  <c r="O495" i="25"/>
  <c r="O494" i="25"/>
  <c r="G421" i="25"/>
  <c r="G422" i="25"/>
  <c r="M463" i="25"/>
  <c r="G467" i="25"/>
  <c r="L469" i="25"/>
  <c r="C54" i="14"/>
  <c r="K523" i="25"/>
  <c r="G514" i="25"/>
  <c r="F514" i="25"/>
  <c r="G468" i="25"/>
  <c r="G469" i="25"/>
  <c r="H148" i="25"/>
  <c r="L632" i="25"/>
  <c r="C69" i="9"/>
  <c r="C59" i="9"/>
  <c r="C49" i="9"/>
  <c r="C39" i="9"/>
  <c r="C29" i="9"/>
  <c r="C19" i="9"/>
  <c r="C9" i="9"/>
  <c r="C284" i="14"/>
  <c r="C45" i="14"/>
  <c r="C35" i="11"/>
  <c r="C28" i="11"/>
  <c r="C49" i="11"/>
  <c r="C42" i="11"/>
  <c r="C14" i="11"/>
  <c r="C21" i="11"/>
  <c r="C7" i="11"/>
  <c r="C46" i="14"/>
  <c r="H46" i="14"/>
  <c r="C198" i="14"/>
  <c r="G198" i="14"/>
  <c r="H155" i="14"/>
  <c r="C112" i="14"/>
  <c r="H112" i="14"/>
  <c r="C69" i="14"/>
  <c r="H69" i="14"/>
  <c r="C26" i="14"/>
  <c r="G26" i="14"/>
  <c r="Q695" i="25"/>
  <c r="C248" i="14"/>
  <c r="N685" i="25"/>
  <c r="M685" i="25"/>
  <c r="N684" i="25"/>
  <c r="M684" i="25"/>
  <c r="N683" i="25"/>
  <c r="M683" i="25"/>
  <c r="C241" i="14"/>
  <c r="H241" i="14"/>
  <c r="E553" i="25"/>
  <c r="E622" i="24"/>
  <c r="F621" i="24"/>
  <c r="E615" i="24"/>
  <c r="E614" i="24"/>
  <c r="D605" i="24"/>
  <c r="F618" i="24"/>
  <c r="E621" i="24"/>
  <c r="F612" i="24"/>
  <c r="E624" i="24"/>
  <c r="E625" i="24"/>
  <c r="E626" i="24"/>
  <c r="G626" i="24"/>
  <c r="F626" i="24"/>
  <c r="F624" i="24"/>
  <c r="G624" i="24"/>
  <c r="F625" i="24"/>
  <c r="G625" i="24"/>
  <c r="L517" i="25"/>
  <c r="L516" i="25"/>
  <c r="L520" i="25"/>
  <c r="M520" i="25"/>
  <c r="C523" i="25"/>
  <c r="C24" i="14"/>
  <c r="G24" i="14"/>
  <c r="C77" i="14"/>
  <c r="L584" i="24"/>
  <c r="F551" i="25"/>
  <c r="C286" i="14"/>
  <c r="H286" i="14"/>
  <c r="C200" i="14"/>
  <c r="H200" i="14"/>
  <c r="C114" i="14"/>
  <c r="H114" i="14"/>
  <c r="H71" i="14"/>
  <c r="C28" i="14"/>
  <c r="H28" i="14"/>
  <c r="C243" i="14"/>
  <c r="H243" i="14"/>
  <c r="F530" i="24"/>
  <c r="C39" i="13"/>
  <c r="G39" i="13"/>
  <c r="C24" i="13"/>
  <c r="G24" i="13"/>
  <c r="H19" i="13"/>
  <c r="C14" i="13"/>
  <c r="G14" i="13"/>
  <c r="C9" i="13"/>
  <c r="G9" i="13"/>
  <c r="C18" i="13"/>
  <c r="G18" i="13"/>
  <c r="C28" i="13"/>
  <c r="H28" i="13"/>
  <c r="C13" i="13"/>
  <c r="C15" i="13"/>
  <c r="C33" i="13"/>
  <c r="G33" i="13"/>
  <c r="C23" i="13"/>
  <c r="G23" i="13"/>
  <c r="C8" i="13"/>
  <c r="G8" i="13"/>
  <c r="C184" i="14"/>
  <c r="G184" i="14"/>
  <c r="C21" i="14"/>
  <c r="H21" i="14"/>
  <c r="K406" i="24"/>
  <c r="N400" i="24"/>
  <c r="N399" i="24"/>
  <c r="M400" i="24"/>
  <c r="M399" i="24"/>
  <c r="L400" i="24"/>
  <c r="L399" i="24"/>
  <c r="I216" i="25"/>
  <c r="M335" i="24"/>
  <c r="I212" i="25"/>
  <c r="C64" i="14"/>
  <c r="H64" i="14"/>
  <c r="C167" i="14"/>
  <c r="G167" i="14"/>
  <c r="C124" i="14"/>
  <c r="G124" i="14"/>
  <c r="H81" i="14"/>
  <c r="C38" i="14"/>
  <c r="H38" i="14"/>
  <c r="C296" i="14"/>
  <c r="G296" i="14"/>
  <c r="C253" i="14"/>
  <c r="G253" i="14"/>
  <c r="C210" i="14"/>
  <c r="G210" i="14"/>
  <c r="C50" i="14"/>
  <c r="G50" i="14"/>
  <c r="L522" i="25"/>
  <c r="M522" i="25"/>
  <c r="C183" i="14"/>
  <c r="G183" i="14"/>
  <c r="C288" i="14"/>
  <c r="C245" i="14"/>
  <c r="G245" i="14"/>
  <c r="C202" i="14"/>
  <c r="G202" i="14"/>
  <c r="C159" i="14"/>
  <c r="G159" i="14"/>
  <c r="C116" i="14"/>
  <c r="H116" i="14"/>
  <c r="C73" i="14"/>
  <c r="G73" i="14"/>
  <c r="C30" i="14"/>
  <c r="G30" i="14"/>
  <c r="C8" i="14"/>
  <c r="H15" i="14"/>
  <c r="G11" i="14"/>
  <c r="C226" i="14"/>
  <c r="H226" i="14"/>
  <c r="C140" i="14"/>
  <c r="G140" i="14"/>
  <c r="C97" i="14"/>
  <c r="H97" i="14"/>
  <c r="F41" i="25"/>
  <c r="F42" i="25"/>
  <c r="C281" i="14"/>
  <c r="G281" i="14"/>
  <c r="C239" i="14"/>
  <c r="G239" i="14"/>
  <c r="C238" i="14"/>
  <c r="G238" i="14"/>
  <c r="C196" i="14"/>
  <c r="H196" i="14"/>
  <c r="C195" i="14"/>
  <c r="H195" i="14"/>
  <c r="C153" i="14"/>
  <c r="G153" i="14"/>
  <c r="C152" i="14"/>
  <c r="H152" i="14"/>
  <c r="C110" i="14"/>
  <c r="C109" i="14"/>
  <c r="H109" i="14"/>
  <c r="C67" i="14"/>
  <c r="G67" i="14"/>
  <c r="C66" i="14"/>
  <c r="G66" i="14"/>
  <c r="C23" i="14"/>
  <c r="G23" i="14"/>
  <c r="C16" i="15"/>
  <c r="B16" i="15"/>
  <c r="D15" i="15"/>
  <c r="D14" i="15"/>
  <c r="D13" i="15"/>
  <c r="D12" i="15"/>
  <c r="D11" i="15"/>
  <c r="D10" i="15"/>
  <c r="D9" i="15"/>
  <c r="D16" i="15" s="1"/>
  <c r="D8" i="15"/>
  <c r="D7" i="15"/>
  <c r="G391" i="14"/>
  <c r="H391" i="14"/>
  <c r="G390" i="14"/>
  <c r="H390" i="14"/>
  <c r="G389" i="14"/>
  <c r="H389" i="14"/>
  <c r="G388" i="14"/>
  <c r="H388" i="14"/>
  <c r="G387" i="14"/>
  <c r="H387" i="14"/>
  <c r="G386" i="14"/>
  <c r="H386" i="14"/>
  <c r="G385" i="14"/>
  <c r="H385" i="14"/>
  <c r="G384" i="14"/>
  <c r="H384" i="14"/>
  <c r="G383" i="14"/>
  <c r="H383" i="14"/>
  <c r="G382" i="14"/>
  <c r="H382" i="14"/>
  <c r="G381" i="14"/>
  <c r="H381" i="14"/>
  <c r="G380" i="14"/>
  <c r="H380" i="14"/>
  <c r="G379" i="14"/>
  <c r="H379" i="14"/>
  <c r="G378" i="14"/>
  <c r="H378" i="14"/>
  <c r="G377" i="14"/>
  <c r="H377" i="14"/>
  <c r="G376" i="14"/>
  <c r="H376" i="14"/>
  <c r="G375" i="14"/>
  <c r="H375" i="14"/>
  <c r="G374" i="14"/>
  <c r="H374" i="14"/>
  <c r="G373" i="14"/>
  <c r="H373" i="14"/>
  <c r="G372" i="14"/>
  <c r="H372" i="14"/>
  <c r="G371" i="14"/>
  <c r="H371" i="14"/>
  <c r="G370" i="14"/>
  <c r="H370" i="14"/>
  <c r="G369" i="14"/>
  <c r="H369" i="14"/>
  <c r="G368" i="14"/>
  <c r="H368" i="14"/>
  <c r="G367" i="14"/>
  <c r="H367" i="14"/>
  <c r="G366" i="14"/>
  <c r="H366" i="14"/>
  <c r="G365" i="14"/>
  <c r="H365" i="14"/>
  <c r="G364" i="14"/>
  <c r="H364" i="14"/>
  <c r="G363" i="14"/>
  <c r="H363" i="14"/>
  <c r="G362" i="14"/>
  <c r="H362" i="14"/>
  <c r="G361" i="14"/>
  <c r="H361" i="14"/>
  <c r="G360" i="14"/>
  <c r="H360" i="14"/>
  <c r="G359" i="14"/>
  <c r="H359" i="14"/>
  <c r="G358" i="14"/>
  <c r="H358" i="14"/>
  <c r="G357" i="14"/>
  <c r="H357" i="14"/>
  <c r="G356" i="14"/>
  <c r="H356" i="14"/>
  <c r="G355" i="14"/>
  <c r="H355" i="14"/>
  <c r="G354" i="14"/>
  <c r="H354" i="14"/>
  <c r="G353" i="14"/>
  <c r="H353" i="14"/>
  <c r="G352" i="14"/>
  <c r="H352" i="14"/>
  <c r="G351" i="14"/>
  <c r="H351" i="14"/>
  <c r="G350" i="14"/>
  <c r="H350" i="14"/>
  <c r="G348" i="14"/>
  <c r="H348" i="14"/>
  <c r="G347" i="14"/>
  <c r="H347" i="14"/>
  <c r="G346" i="14"/>
  <c r="H346" i="14"/>
  <c r="G345" i="14"/>
  <c r="H345" i="14"/>
  <c r="G344" i="14"/>
  <c r="H344" i="14"/>
  <c r="G343" i="14"/>
  <c r="H343" i="14"/>
  <c r="G342" i="14"/>
  <c r="H342" i="14"/>
  <c r="G341" i="14"/>
  <c r="H341" i="14"/>
  <c r="G340" i="14"/>
  <c r="H340" i="14"/>
  <c r="G339" i="14"/>
  <c r="H339" i="14"/>
  <c r="G338" i="14"/>
  <c r="H338" i="14"/>
  <c r="G337" i="14"/>
  <c r="H337" i="14"/>
  <c r="G336" i="14"/>
  <c r="H336" i="14"/>
  <c r="G335" i="14"/>
  <c r="H335" i="14"/>
  <c r="G334" i="14"/>
  <c r="H334" i="14"/>
  <c r="G333" i="14"/>
  <c r="H333" i="14"/>
  <c r="G332" i="14"/>
  <c r="H332" i="14"/>
  <c r="G331" i="14"/>
  <c r="H331" i="14"/>
  <c r="G330" i="14"/>
  <c r="H330" i="14"/>
  <c r="G329" i="14"/>
  <c r="H329" i="14"/>
  <c r="G328" i="14"/>
  <c r="H328" i="14"/>
  <c r="G327" i="14"/>
  <c r="H327" i="14"/>
  <c r="G326" i="14"/>
  <c r="H326" i="14"/>
  <c r="G325" i="14"/>
  <c r="H325" i="14"/>
  <c r="G324" i="14"/>
  <c r="H324" i="14"/>
  <c r="G323" i="14"/>
  <c r="H323" i="14"/>
  <c r="G322" i="14"/>
  <c r="H322" i="14"/>
  <c r="G321" i="14"/>
  <c r="H321" i="14"/>
  <c r="G320" i="14"/>
  <c r="H320" i="14"/>
  <c r="G319" i="14"/>
  <c r="H319" i="14"/>
  <c r="G318" i="14"/>
  <c r="H318" i="14"/>
  <c r="G317" i="14"/>
  <c r="H317" i="14"/>
  <c r="G316" i="14"/>
  <c r="H316" i="14"/>
  <c r="G315" i="14"/>
  <c r="H315" i="14"/>
  <c r="G314" i="14"/>
  <c r="H314" i="14"/>
  <c r="G313" i="14"/>
  <c r="H313" i="14"/>
  <c r="G312" i="14"/>
  <c r="H312" i="14"/>
  <c r="G311" i="14"/>
  <c r="H311" i="14"/>
  <c r="G310" i="14"/>
  <c r="H310" i="14"/>
  <c r="G309" i="14"/>
  <c r="H309" i="14"/>
  <c r="G308" i="14"/>
  <c r="H308" i="14"/>
  <c r="G307" i="14"/>
  <c r="H307" i="14"/>
  <c r="G305" i="14"/>
  <c r="H305" i="14"/>
  <c r="G304" i="14"/>
  <c r="H304" i="14"/>
  <c r="G303" i="14"/>
  <c r="H303" i="14"/>
  <c r="G302" i="14"/>
  <c r="H302" i="14"/>
  <c r="G301" i="14"/>
  <c r="H301" i="14"/>
  <c r="G300" i="14"/>
  <c r="H300" i="14"/>
  <c r="G299" i="14"/>
  <c r="H299" i="14"/>
  <c r="G298" i="14"/>
  <c r="H298" i="14"/>
  <c r="G297" i="14"/>
  <c r="H297" i="14"/>
  <c r="G295" i="14"/>
  <c r="H295" i="14"/>
  <c r="G294" i="14"/>
  <c r="H294" i="14"/>
  <c r="G293" i="14"/>
  <c r="H293" i="14"/>
  <c r="G292" i="14"/>
  <c r="H292" i="14"/>
  <c r="G291" i="14"/>
  <c r="H291" i="14"/>
  <c r="G290" i="14"/>
  <c r="H290" i="14"/>
  <c r="G289" i="14"/>
  <c r="H289" i="14"/>
  <c r="G287" i="14"/>
  <c r="H287" i="14"/>
  <c r="G285" i="14"/>
  <c r="H285" i="14"/>
  <c r="G283" i="14"/>
  <c r="H283" i="14"/>
  <c r="G282" i="14"/>
  <c r="H282" i="14"/>
  <c r="G280" i="14"/>
  <c r="H280" i="14"/>
  <c r="G279" i="14"/>
  <c r="H279" i="14"/>
  <c r="G278" i="14"/>
  <c r="H278" i="14"/>
  <c r="G277" i="14"/>
  <c r="H277" i="14"/>
  <c r="G276" i="14"/>
  <c r="H276" i="14"/>
  <c r="G275" i="14"/>
  <c r="H275" i="14"/>
  <c r="G274" i="14"/>
  <c r="H274" i="14"/>
  <c r="G273" i="14"/>
  <c r="H273" i="14"/>
  <c r="G272" i="14"/>
  <c r="H272" i="14"/>
  <c r="G271" i="14"/>
  <c r="H271" i="14"/>
  <c r="G270" i="14"/>
  <c r="H270" i="14"/>
  <c r="G269" i="14"/>
  <c r="H269" i="14"/>
  <c r="G268" i="14"/>
  <c r="H268" i="14"/>
  <c r="G267" i="14"/>
  <c r="H267" i="14"/>
  <c r="G266" i="14"/>
  <c r="H266" i="14"/>
  <c r="G265" i="14"/>
  <c r="H265" i="14"/>
  <c r="G264" i="14"/>
  <c r="H264" i="14"/>
  <c r="G262" i="14"/>
  <c r="H262" i="14"/>
  <c r="G261" i="14"/>
  <c r="H261" i="14"/>
  <c r="G260" i="14"/>
  <c r="H260" i="14"/>
  <c r="G259" i="14"/>
  <c r="H259" i="14"/>
  <c r="G258" i="14"/>
  <c r="H258" i="14"/>
  <c r="G257" i="14"/>
  <c r="H257" i="14"/>
  <c r="G256" i="14"/>
  <c r="H256" i="14"/>
  <c r="G255" i="14"/>
  <c r="H255" i="14"/>
  <c r="G254" i="14"/>
  <c r="H254" i="14"/>
  <c r="G252" i="14"/>
  <c r="H252" i="14"/>
  <c r="G251" i="14"/>
  <c r="H251" i="14"/>
  <c r="G249" i="14"/>
  <c r="H249" i="14"/>
  <c r="G247" i="14"/>
  <c r="H247" i="14"/>
  <c r="G246" i="14"/>
  <c r="H246" i="14"/>
  <c r="G244" i="14"/>
  <c r="H244" i="14"/>
  <c r="G242" i="14"/>
  <c r="H242" i="14"/>
  <c r="G240" i="14"/>
  <c r="H240" i="14"/>
  <c r="G237" i="14"/>
  <c r="H237" i="14"/>
  <c r="G235" i="14"/>
  <c r="H235" i="14"/>
  <c r="G234" i="14"/>
  <c r="H234" i="14"/>
  <c r="G233" i="14"/>
  <c r="H233" i="14"/>
  <c r="G232" i="14"/>
  <c r="H232" i="14"/>
  <c r="G231" i="14"/>
  <c r="H231" i="14"/>
  <c r="G230" i="14"/>
  <c r="H230" i="14"/>
  <c r="G229" i="14"/>
  <c r="H229" i="14"/>
  <c r="G228" i="14"/>
  <c r="H228" i="14"/>
  <c r="G227" i="14"/>
  <c r="H227" i="14"/>
  <c r="G225" i="14"/>
  <c r="H225" i="14"/>
  <c r="G224" i="14"/>
  <c r="H224" i="14"/>
  <c r="G223" i="14"/>
  <c r="H223" i="14"/>
  <c r="G222" i="14"/>
  <c r="H222" i="14"/>
  <c r="G221" i="14"/>
  <c r="H221" i="14"/>
  <c r="G219" i="14"/>
  <c r="H219" i="14"/>
  <c r="G218" i="14"/>
  <c r="H218" i="14"/>
  <c r="G217" i="14"/>
  <c r="H217" i="14"/>
  <c r="G216" i="14"/>
  <c r="H216" i="14"/>
  <c r="G215" i="14"/>
  <c r="H215" i="14"/>
  <c r="G214" i="14"/>
  <c r="H214" i="14"/>
  <c r="G213" i="14"/>
  <c r="H213" i="14"/>
  <c r="G212" i="14"/>
  <c r="H212" i="14"/>
  <c r="G211" i="14"/>
  <c r="H211" i="14"/>
  <c r="G209" i="14"/>
  <c r="H209" i="14"/>
  <c r="G208" i="14"/>
  <c r="H208" i="14"/>
  <c r="G207" i="14"/>
  <c r="H207" i="14"/>
  <c r="G206" i="14"/>
  <c r="H206" i="14"/>
  <c r="G205" i="14"/>
  <c r="H205" i="14"/>
  <c r="G204" i="14"/>
  <c r="H204" i="14"/>
  <c r="G203" i="14"/>
  <c r="H203" i="14"/>
  <c r="G201" i="14"/>
  <c r="H201" i="14"/>
  <c r="G199" i="14"/>
  <c r="H199" i="14"/>
  <c r="G197" i="14"/>
  <c r="H197" i="14"/>
  <c r="G194" i="14"/>
  <c r="H194" i="14"/>
  <c r="G192" i="14"/>
  <c r="H192" i="14"/>
  <c r="G191" i="14"/>
  <c r="H191" i="14"/>
  <c r="G190" i="14"/>
  <c r="H190" i="14"/>
  <c r="G189" i="14"/>
  <c r="H189" i="14"/>
  <c r="G188" i="14"/>
  <c r="H188" i="14"/>
  <c r="G187" i="14"/>
  <c r="H187" i="14"/>
  <c r="G186" i="14"/>
  <c r="H186" i="14"/>
  <c r="G185" i="14"/>
  <c r="H185" i="14"/>
  <c r="G182" i="14"/>
  <c r="H182" i="14"/>
  <c r="G181" i="14"/>
  <c r="H181" i="14"/>
  <c r="G180" i="14"/>
  <c r="H180" i="14"/>
  <c r="G179" i="14"/>
  <c r="H179" i="14"/>
  <c r="G178" i="14"/>
  <c r="H178" i="14"/>
  <c r="G176" i="14"/>
  <c r="H176" i="14"/>
  <c r="G175" i="14"/>
  <c r="H175" i="14"/>
  <c r="G174" i="14"/>
  <c r="H174" i="14"/>
  <c r="G173" i="14"/>
  <c r="H173" i="14"/>
  <c r="G172" i="14"/>
  <c r="H172" i="14"/>
  <c r="G171" i="14"/>
  <c r="H171" i="14"/>
  <c r="G170" i="14"/>
  <c r="H170" i="14"/>
  <c r="G169" i="14"/>
  <c r="H169" i="14"/>
  <c r="G168" i="14"/>
  <c r="H168" i="14"/>
  <c r="G166" i="14"/>
  <c r="H166" i="14"/>
  <c r="G165" i="14"/>
  <c r="H165" i="14"/>
  <c r="G164" i="14"/>
  <c r="H164" i="14"/>
  <c r="G163" i="14"/>
  <c r="H163" i="14"/>
  <c r="G162" i="14"/>
  <c r="H162" i="14"/>
  <c r="G161" i="14"/>
  <c r="H161" i="14"/>
  <c r="G160" i="14"/>
  <c r="H160" i="14"/>
  <c r="G158" i="14"/>
  <c r="H158" i="14"/>
  <c r="G156" i="14"/>
  <c r="H156" i="14"/>
  <c r="G154" i="14"/>
  <c r="H154" i="14"/>
  <c r="G151" i="14"/>
  <c r="H151" i="14"/>
  <c r="G149" i="14"/>
  <c r="H149" i="14"/>
  <c r="G148" i="14"/>
  <c r="H148" i="14"/>
  <c r="G147" i="14"/>
  <c r="H147" i="14"/>
  <c r="G146" i="14"/>
  <c r="H146" i="14"/>
  <c r="G145" i="14"/>
  <c r="H145" i="14"/>
  <c r="G144" i="14"/>
  <c r="H144" i="14"/>
  <c r="G143" i="14"/>
  <c r="H143" i="14"/>
  <c r="G142" i="14"/>
  <c r="H142" i="14"/>
  <c r="G141" i="14"/>
  <c r="H141" i="14"/>
  <c r="G139" i="14"/>
  <c r="H139" i="14"/>
  <c r="G138" i="14"/>
  <c r="H138" i="14"/>
  <c r="G137" i="14"/>
  <c r="H137" i="14"/>
  <c r="G136" i="14"/>
  <c r="H136" i="14"/>
  <c r="G135" i="14"/>
  <c r="H135" i="14"/>
  <c r="G133" i="14"/>
  <c r="H133" i="14"/>
  <c r="G132" i="14"/>
  <c r="H132" i="14"/>
  <c r="G131" i="14"/>
  <c r="H131" i="14"/>
  <c r="G130" i="14"/>
  <c r="H130" i="14"/>
  <c r="G129" i="14"/>
  <c r="H129" i="14"/>
  <c r="G128" i="14"/>
  <c r="H128" i="14"/>
  <c r="G127" i="14"/>
  <c r="H127" i="14"/>
  <c r="G126" i="14"/>
  <c r="H126" i="14"/>
  <c r="G125" i="14"/>
  <c r="H125" i="14"/>
  <c r="G123" i="14"/>
  <c r="H123" i="14"/>
  <c r="G122" i="14"/>
  <c r="H122" i="14"/>
  <c r="G121" i="14"/>
  <c r="H121" i="14"/>
  <c r="G120" i="14"/>
  <c r="H120" i="14"/>
  <c r="G119" i="14"/>
  <c r="H119" i="14"/>
  <c r="G118" i="14"/>
  <c r="H118" i="14"/>
  <c r="G117" i="14"/>
  <c r="H117" i="14"/>
  <c r="G115" i="14"/>
  <c r="H115" i="14"/>
  <c r="G113" i="14"/>
  <c r="H113" i="14"/>
  <c r="G111" i="14"/>
  <c r="H111" i="14"/>
  <c r="G108" i="14"/>
  <c r="H108" i="14"/>
  <c r="G106" i="14"/>
  <c r="H106" i="14"/>
  <c r="G105" i="14"/>
  <c r="H105" i="14"/>
  <c r="G104" i="14"/>
  <c r="H104" i="14"/>
  <c r="G103" i="14"/>
  <c r="H103" i="14"/>
  <c r="G102" i="14"/>
  <c r="H102" i="14"/>
  <c r="G101" i="14"/>
  <c r="H101" i="14"/>
  <c r="G100" i="14"/>
  <c r="H100" i="14"/>
  <c r="G99" i="14"/>
  <c r="H99" i="14"/>
  <c r="G98" i="14"/>
  <c r="H98" i="14"/>
  <c r="G96" i="14"/>
  <c r="H96" i="14"/>
  <c r="G95" i="14"/>
  <c r="H95" i="14"/>
  <c r="G94" i="14"/>
  <c r="H94" i="14"/>
  <c r="G93" i="14"/>
  <c r="H93" i="14"/>
  <c r="G92" i="14"/>
  <c r="H92" i="14"/>
  <c r="G90" i="14"/>
  <c r="H90" i="14"/>
  <c r="G89" i="14"/>
  <c r="H89" i="14"/>
  <c r="G88" i="14"/>
  <c r="H88" i="14"/>
  <c r="G87" i="14"/>
  <c r="H87" i="14"/>
  <c r="G86" i="14"/>
  <c r="H86" i="14"/>
  <c r="G85" i="14"/>
  <c r="H85" i="14"/>
  <c r="G84" i="14"/>
  <c r="H84" i="14"/>
  <c r="G83" i="14"/>
  <c r="H83" i="14"/>
  <c r="G82" i="14"/>
  <c r="H82" i="14"/>
  <c r="G80" i="14"/>
  <c r="H80" i="14"/>
  <c r="G79" i="14"/>
  <c r="H79" i="14"/>
  <c r="G78" i="14"/>
  <c r="H78" i="14"/>
  <c r="G76" i="14"/>
  <c r="H76" i="14"/>
  <c r="G75" i="14"/>
  <c r="H75" i="14"/>
  <c r="G74" i="14"/>
  <c r="H74" i="14"/>
  <c r="G72" i="14"/>
  <c r="H72" i="14"/>
  <c r="G70" i="14"/>
  <c r="H70" i="14"/>
  <c r="G68" i="14"/>
  <c r="H68" i="14"/>
  <c r="G65" i="14"/>
  <c r="H65" i="14"/>
  <c r="G63" i="14"/>
  <c r="H63" i="14"/>
  <c r="G62" i="14"/>
  <c r="H62" i="14"/>
  <c r="G61" i="14"/>
  <c r="H61" i="14"/>
  <c r="G60" i="14"/>
  <c r="H60" i="14"/>
  <c r="G58" i="14"/>
  <c r="H58" i="14"/>
  <c r="G56" i="14"/>
  <c r="H56" i="14"/>
  <c r="G55" i="14"/>
  <c r="H55" i="14"/>
  <c r="G53" i="14"/>
  <c r="H53" i="14"/>
  <c r="G52" i="14"/>
  <c r="H52" i="14"/>
  <c r="G51" i="14"/>
  <c r="H51" i="14"/>
  <c r="G49" i="14"/>
  <c r="H49" i="14"/>
  <c r="G47" i="14"/>
  <c r="H47" i="14"/>
  <c r="G45" i="14"/>
  <c r="H45" i="14"/>
  <c r="G44" i="14"/>
  <c r="H44" i="14"/>
  <c r="G43" i="14"/>
  <c r="H43" i="14"/>
  <c r="G42" i="14"/>
  <c r="H42" i="14"/>
  <c r="G41" i="14"/>
  <c r="H41" i="14"/>
  <c r="G40" i="14"/>
  <c r="H40" i="14"/>
  <c r="G39" i="14"/>
  <c r="H39" i="14"/>
  <c r="G37" i="14"/>
  <c r="H37" i="14"/>
  <c r="G36" i="14"/>
  <c r="H36" i="14"/>
  <c r="G35" i="14"/>
  <c r="H35" i="14"/>
  <c r="G34" i="14"/>
  <c r="H34" i="14"/>
  <c r="G32" i="14"/>
  <c r="H32" i="14"/>
  <c r="G31" i="14"/>
  <c r="H31" i="14"/>
  <c r="G29" i="14"/>
  <c r="H29" i="14"/>
  <c r="G27" i="14"/>
  <c r="H27" i="14"/>
  <c r="G25" i="14"/>
  <c r="H25" i="14"/>
  <c r="G22" i="14"/>
  <c r="H22" i="14"/>
  <c r="G20" i="14"/>
  <c r="H20" i="14"/>
  <c r="G19" i="14"/>
  <c r="H19" i="14"/>
  <c r="G18" i="14"/>
  <c r="H18" i="14"/>
  <c r="G17" i="14"/>
  <c r="H17" i="14"/>
  <c r="G16" i="14"/>
  <c r="H16" i="14"/>
  <c r="G14" i="14"/>
  <c r="H14" i="14"/>
  <c r="G13" i="14"/>
  <c r="H13" i="14"/>
  <c r="G12" i="14"/>
  <c r="H12" i="14"/>
  <c r="G10" i="14"/>
  <c r="H10" i="14"/>
  <c r="G9" i="14"/>
  <c r="H9" i="14"/>
  <c r="G7" i="14"/>
  <c r="H7" i="14"/>
  <c r="F392" i="14"/>
  <c r="E392" i="14"/>
  <c r="D392" i="14"/>
  <c r="C392" i="14"/>
  <c r="F349" i="14"/>
  <c r="E349" i="14"/>
  <c r="D349" i="14"/>
  <c r="C349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2" i="13"/>
  <c r="H22" i="13"/>
  <c r="G21" i="13"/>
  <c r="H21" i="13"/>
  <c r="G17" i="13"/>
  <c r="H17" i="13"/>
  <c r="G16" i="13"/>
  <c r="H16" i="13"/>
  <c r="G12" i="13"/>
  <c r="H12" i="13"/>
  <c r="G11" i="13"/>
  <c r="H11" i="13"/>
  <c r="G7" i="13"/>
  <c r="H7" i="13"/>
  <c r="F50" i="13"/>
  <c r="E50" i="13"/>
  <c r="D50" i="13"/>
  <c r="C50" i="13"/>
  <c r="F45" i="13"/>
  <c r="E45" i="13"/>
  <c r="D45" i="13"/>
  <c r="C45" i="13"/>
  <c r="F40" i="13"/>
  <c r="E40" i="13"/>
  <c r="C30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67" i="11"/>
  <c r="H67" i="11"/>
  <c r="G66" i="11"/>
  <c r="H66" i="11"/>
  <c r="G65" i="11"/>
  <c r="H65" i="11"/>
  <c r="G64" i="11"/>
  <c r="H64" i="11"/>
  <c r="G63" i="11"/>
  <c r="H63" i="11"/>
  <c r="G62" i="11"/>
  <c r="H62" i="11"/>
  <c r="G60" i="11"/>
  <c r="H60" i="11"/>
  <c r="G59" i="11"/>
  <c r="H59" i="11"/>
  <c r="G58" i="11"/>
  <c r="H58" i="11"/>
  <c r="G57" i="11"/>
  <c r="H57" i="11"/>
  <c r="G56" i="11"/>
  <c r="H56" i="11"/>
  <c r="G55" i="11"/>
  <c r="H55" i="11"/>
  <c r="G53" i="11"/>
  <c r="H53" i="11"/>
  <c r="G52" i="11"/>
  <c r="H52" i="11"/>
  <c r="G51" i="11"/>
  <c r="H51" i="11"/>
  <c r="G50" i="11"/>
  <c r="H50" i="11"/>
  <c r="G49" i="11"/>
  <c r="H49" i="11"/>
  <c r="G48" i="11"/>
  <c r="H48" i="11"/>
  <c r="G46" i="11"/>
  <c r="H46" i="11"/>
  <c r="G45" i="11"/>
  <c r="H45" i="11"/>
  <c r="G44" i="11"/>
  <c r="H44" i="11"/>
  <c r="G43" i="11"/>
  <c r="H43" i="11"/>
  <c r="G42" i="11"/>
  <c r="H42" i="11"/>
  <c r="G41" i="11"/>
  <c r="H41" i="11"/>
  <c r="G39" i="11"/>
  <c r="H39" i="11"/>
  <c r="G38" i="11"/>
  <c r="H38" i="11"/>
  <c r="G37" i="11"/>
  <c r="H37" i="11"/>
  <c r="G36" i="11"/>
  <c r="H36" i="11"/>
  <c r="G35" i="11"/>
  <c r="H35" i="11"/>
  <c r="G34" i="11"/>
  <c r="H34" i="11"/>
  <c r="G32" i="11"/>
  <c r="H32" i="11"/>
  <c r="G31" i="11"/>
  <c r="H31" i="11"/>
  <c r="G30" i="11"/>
  <c r="H30" i="11"/>
  <c r="G29" i="11"/>
  <c r="H29" i="11"/>
  <c r="G28" i="11"/>
  <c r="H28" i="11"/>
  <c r="G27" i="11"/>
  <c r="H27" i="11"/>
  <c r="G25" i="11"/>
  <c r="H25" i="11"/>
  <c r="G24" i="11"/>
  <c r="H24" i="11"/>
  <c r="G23" i="11"/>
  <c r="H23" i="11"/>
  <c r="G22" i="11"/>
  <c r="H22" i="11"/>
  <c r="G21" i="11"/>
  <c r="H21" i="11"/>
  <c r="G20" i="11"/>
  <c r="H20" i="11"/>
  <c r="G18" i="11"/>
  <c r="H18" i="11"/>
  <c r="G17" i="11"/>
  <c r="H17" i="11"/>
  <c r="G16" i="11"/>
  <c r="H16" i="11"/>
  <c r="G15" i="11"/>
  <c r="H15" i="11"/>
  <c r="G14" i="11"/>
  <c r="H14" i="11"/>
  <c r="G13" i="11"/>
  <c r="H13" i="11"/>
  <c r="G11" i="11"/>
  <c r="H11" i="11"/>
  <c r="G10" i="11"/>
  <c r="H10" i="11"/>
  <c r="G9" i="11"/>
  <c r="H9" i="11"/>
  <c r="G8" i="11"/>
  <c r="H8" i="11"/>
  <c r="G7" i="11"/>
  <c r="H7" i="11"/>
  <c r="F68" i="11"/>
  <c r="E68" i="11"/>
  <c r="D68" i="11"/>
  <c r="C68" i="11"/>
  <c r="F61" i="11"/>
  <c r="E61" i="11"/>
  <c r="D61" i="11"/>
  <c r="C61" i="11"/>
  <c r="F54" i="11"/>
  <c r="E54" i="11"/>
  <c r="D54" i="11"/>
  <c r="C54" i="11"/>
  <c r="F47" i="11"/>
  <c r="E47" i="11"/>
  <c r="D47" i="11"/>
  <c r="C47" i="11"/>
  <c r="F40" i="11"/>
  <c r="E40" i="11"/>
  <c r="D40" i="11"/>
  <c r="C40" i="11"/>
  <c r="F33" i="11"/>
  <c r="E33" i="11"/>
  <c r="D33" i="11"/>
  <c r="C33" i="11"/>
  <c r="F26" i="11"/>
  <c r="E26" i="11"/>
  <c r="D26" i="11"/>
  <c r="C26" i="11"/>
  <c r="F19" i="11"/>
  <c r="E19" i="11"/>
  <c r="D19" i="11"/>
  <c r="C19" i="11"/>
  <c r="F12" i="11"/>
  <c r="E12" i="11"/>
  <c r="D12" i="11"/>
  <c r="C12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9" i="9"/>
  <c r="H69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9" i="9"/>
  <c r="H59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9" i="9"/>
  <c r="H49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9" i="9"/>
  <c r="H39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9" i="9"/>
  <c r="H29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9" i="9"/>
  <c r="H19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9" i="9"/>
  <c r="H9" i="9"/>
  <c r="G8" i="9"/>
  <c r="H8" i="9"/>
  <c r="G7" i="9"/>
  <c r="H7" i="9"/>
  <c r="F95" i="9"/>
  <c r="E95" i="9"/>
  <c r="D95" i="9"/>
  <c r="C95" i="9"/>
  <c r="F85" i="9"/>
  <c r="E85" i="9"/>
  <c r="D85" i="9"/>
  <c r="C85" i="9"/>
  <c r="F75" i="9"/>
  <c r="E75" i="9"/>
  <c r="D75" i="9"/>
  <c r="C75" i="9"/>
  <c r="F65" i="9"/>
  <c r="E65" i="9"/>
  <c r="D65" i="9"/>
  <c r="C65" i="9"/>
  <c r="F55" i="9"/>
  <c r="E55" i="9"/>
  <c r="D55" i="9"/>
  <c r="C55" i="9"/>
  <c r="F45" i="9"/>
  <c r="E45" i="9"/>
  <c r="D45" i="9"/>
  <c r="C45" i="9"/>
  <c r="F35" i="9"/>
  <c r="E35" i="9"/>
  <c r="D35" i="9"/>
  <c r="C35" i="9"/>
  <c r="F25" i="9"/>
  <c r="E25" i="9"/>
  <c r="D25" i="9"/>
  <c r="C25" i="9"/>
  <c r="F15" i="9"/>
  <c r="E15" i="9"/>
  <c r="D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G15" i="12"/>
  <c r="G25" i="12"/>
  <c r="G35" i="12"/>
  <c r="G45" i="12"/>
  <c r="H45" i="12"/>
  <c r="H15" i="12"/>
  <c r="H25" i="12"/>
  <c r="G10" i="12"/>
  <c r="H10" i="12"/>
  <c r="G20" i="12"/>
  <c r="H20" i="12"/>
  <c r="G30" i="12"/>
  <c r="H30" i="12"/>
  <c r="G40" i="12"/>
  <c r="H40" i="12"/>
  <c r="G50" i="12"/>
  <c r="H50" i="12"/>
  <c r="H35" i="12"/>
  <c r="D586" i="24"/>
  <c r="G581" i="24"/>
  <c r="F565" i="24"/>
  <c r="D33" i="14"/>
  <c r="D801" i="24"/>
  <c r="D803" i="24"/>
  <c r="C803" i="24"/>
  <c r="E802" i="24"/>
  <c r="E642" i="24"/>
  <c r="C801" i="24"/>
  <c r="G33" i="14"/>
  <c r="H33" i="14"/>
  <c r="D28" i="14"/>
  <c r="K590" i="24"/>
  <c r="L583" i="24"/>
  <c r="L588" i="24"/>
  <c r="C592" i="24"/>
  <c r="L589" i="24"/>
  <c r="C593" i="24"/>
  <c r="L587" i="24"/>
  <c r="C590" i="24"/>
  <c r="L586" i="24"/>
  <c r="C589" i="24"/>
  <c r="J423" i="24"/>
  <c r="J424" i="24"/>
  <c r="J425" i="24"/>
  <c r="C591" i="24"/>
  <c r="E600" i="24"/>
  <c r="L590" i="24"/>
  <c r="G600" i="24"/>
  <c r="F600" i="24"/>
  <c r="D24" i="14"/>
  <c r="H558" i="24"/>
  <c r="J265" i="24"/>
  <c r="D21" i="14"/>
  <c r="C643" i="24"/>
  <c r="F643" i="24"/>
  <c r="E643" i="24"/>
  <c r="J738" i="24"/>
  <c r="J739" i="24"/>
  <c r="D112" i="14"/>
  <c r="D69" i="14"/>
  <c r="D26" i="14"/>
  <c r="K700" i="24"/>
  <c r="D198" i="14"/>
  <c r="D284" i="14"/>
  <c r="D241" i="14"/>
  <c r="D155" i="14"/>
  <c r="G284" i="14"/>
  <c r="H284" i="14"/>
  <c r="G112" i="14"/>
  <c r="D8" i="14"/>
  <c r="D77" i="14"/>
  <c r="O335" i="24"/>
  <c r="M333" i="24"/>
  <c r="G77" i="14"/>
  <c r="H77" i="14"/>
  <c r="D59" i="14"/>
  <c r="D296" i="14"/>
  <c r="D253" i="14"/>
  <c r="I106" i="24"/>
  <c r="I107" i="24"/>
  <c r="I152" i="24"/>
  <c r="I112" i="24"/>
  <c r="D81" i="14"/>
  <c r="I125" i="24"/>
  <c r="D167" i="14"/>
  <c r="I129" i="24"/>
  <c r="D210" i="14"/>
  <c r="I137" i="24"/>
  <c r="D124" i="14"/>
  <c r="I151" i="24"/>
  <c r="D38" i="14"/>
  <c r="C158" i="24"/>
  <c r="H210" i="14"/>
  <c r="G81" i="14"/>
  <c r="D57" i="14"/>
  <c r="F581" i="24"/>
  <c r="D50" i="14"/>
  <c r="D15" i="14"/>
  <c r="D184" i="14"/>
  <c r="D243" i="14"/>
  <c r="D286" i="14"/>
  <c r="D200" i="14"/>
  <c r="D157" i="14"/>
  <c r="D114" i="14"/>
  <c r="D71" i="14"/>
  <c r="I517" i="24"/>
  <c r="I483" i="24"/>
  <c r="G157" i="14"/>
  <c r="H157" i="14"/>
  <c r="D38" i="13"/>
  <c r="D33" i="13"/>
  <c r="D28" i="13"/>
  <c r="D23" i="13"/>
  <c r="D18" i="13"/>
  <c r="D13" i="13"/>
  <c r="D8" i="13"/>
  <c r="G28" i="13"/>
  <c r="D30" i="13"/>
  <c r="G38" i="13"/>
  <c r="H38" i="13"/>
  <c r="D40" i="13"/>
  <c r="D10" i="13"/>
  <c r="D15" i="13"/>
  <c r="D35" i="13"/>
  <c r="D25" i="13"/>
  <c r="D24" i="13"/>
  <c r="D19" i="13"/>
  <c r="D9" i="13"/>
  <c r="L389" i="24"/>
  <c r="D20" i="13"/>
  <c r="D236" i="14"/>
  <c r="D193" i="14"/>
  <c r="D150" i="14"/>
  <c r="D107" i="14"/>
  <c r="D64" i="14"/>
  <c r="J319" i="24"/>
  <c r="D11" i="14"/>
  <c r="D183" i="14"/>
  <c r="J270" i="24"/>
  <c r="J219" i="24"/>
  <c r="D140" i="14"/>
  <c r="J173" i="24"/>
  <c r="D54" i="14"/>
  <c r="J182" i="24"/>
  <c r="D226" i="14"/>
  <c r="D288" i="14"/>
  <c r="D202" i="14"/>
  <c r="D159" i="14"/>
  <c r="D116" i="14"/>
  <c r="D73" i="14"/>
  <c r="D30" i="14"/>
  <c r="D281" i="14"/>
  <c r="D239" i="14"/>
  <c r="D238" i="14"/>
  <c r="D196" i="14"/>
  <c r="D195" i="14"/>
  <c r="D153" i="14"/>
  <c r="D152" i="14"/>
  <c r="D110" i="14"/>
  <c r="D66" i="14"/>
  <c r="D67" i="14"/>
  <c r="D109" i="14"/>
  <c r="D23" i="14"/>
  <c r="G236" i="14"/>
  <c r="H236" i="14"/>
  <c r="G107" i="14"/>
  <c r="H107" i="14"/>
  <c r="D263" i="14"/>
  <c r="D220" i="14"/>
  <c r="G150" i="14"/>
  <c r="H150" i="14"/>
  <c r="D177" i="14"/>
  <c r="G288" i="14"/>
  <c r="H288" i="14"/>
  <c r="D306" i="14"/>
  <c r="G54" i="14"/>
  <c r="H54" i="14"/>
  <c r="D91" i="14"/>
  <c r="D48" i="14"/>
  <c r="G193" i="14"/>
  <c r="H193" i="14"/>
  <c r="J320" i="24"/>
  <c r="D97" i="14"/>
  <c r="F16" i="15"/>
  <c r="E16" i="15"/>
  <c r="G15" i="15"/>
  <c r="G14" i="15"/>
  <c r="G13" i="15"/>
  <c r="G12" i="15"/>
  <c r="G11" i="15"/>
  <c r="G10" i="15"/>
  <c r="G9" i="15"/>
  <c r="G8" i="15"/>
  <c r="G7" i="15"/>
  <c r="D134" i="14"/>
  <c r="G16" i="15"/>
  <c r="M10" i="15"/>
  <c r="E183" i="14"/>
  <c r="J64" i="23"/>
  <c r="E139" i="23"/>
  <c r="E33" i="13"/>
  <c r="E35" i="13"/>
  <c r="E28" i="13"/>
  <c r="E30" i="13"/>
  <c r="E23" i="13"/>
  <c r="E25" i="13"/>
  <c r="E18" i="13"/>
  <c r="E20" i="13"/>
  <c r="E13" i="13"/>
  <c r="E15" i="13"/>
  <c r="E8" i="13"/>
  <c r="E10" i="13"/>
  <c r="E30" i="14"/>
  <c r="E48" i="14"/>
  <c r="E202" i="14"/>
  <c r="E159" i="14"/>
  <c r="E288" i="14"/>
  <c r="E306" i="14"/>
  <c r="D97" i="23"/>
  <c r="D98" i="23"/>
  <c r="E152" i="14"/>
  <c r="E177" i="14"/>
  <c r="E153" i="14"/>
  <c r="E67" i="14"/>
  <c r="E66" i="14"/>
  <c r="E110" i="14"/>
  <c r="E109" i="14"/>
  <c r="J78" i="23"/>
  <c r="E238" i="14"/>
  <c r="E263" i="14"/>
  <c r="E239" i="14"/>
  <c r="E195" i="14"/>
  <c r="E220" i="14"/>
  <c r="E196" i="14"/>
  <c r="E134" i="14"/>
  <c r="E91" i="14"/>
  <c r="E141" i="23"/>
  <c r="E143" i="23"/>
  <c r="D100" i="23"/>
  <c r="D101" i="23"/>
  <c r="J80" i="23"/>
  <c r="J81" i="23"/>
  <c r="K16" i="15"/>
  <c r="L16" i="15"/>
  <c r="F296" i="14"/>
  <c r="F288" i="14"/>
  <c r="F306" i="14"/>
  <c r="F253" i="14"/>
  <c r="F245" i="14"/>
  <c r="F239" i="14"/>
  <c r="F238" i="14"/>
  <c r="F210" i="14"/>
  <c r="F202" i="14"/>
  <c r="F196" i="14"/>
  <c r="F195" i="14"/>
  <c r="F184" i="14"/>
  <c r="F167" i="14"/>
  <c r="F159" i="14"/>
  <c r="F156" i="14"/>
  <c r="F153" i="14"/>
  <c r="F152" i="14"/>
  <c r="F124" i="14"/>
  <c r="F116" i="14"/>
  <c r="F113" i="14"/>
  <c r="F110" i="14"/>
  <c r="F109" i="14"/>
  <c r="F81" i="14"/>
  <c r="F72" i="14"/>
  <c r="F67" i="14"/>
  <c r="F66" i="14"/>
  <c r="F38" i="14"/>
  <c r="F30" i="14"/>
  <c r="F27" i="14"/>
  <c r="F23" i="14"/>
  <c r="F263" i="14"/>
  <c r="F48" i="14"/>
  <c r="F134" i="14"/>
  <c r="F177" i="14"/>
  <c r="F91" i="14"/>
  <c r="F220" i="14"/>
  <c r="I16" i="15"/>
  <c r="H16" i="15"/>
  <c r="J15" i="15"/>
  <c r="J14" i="15"/>
  <c r="J13" i="15"/>
  <c r="J12" i="15"/>
  <c r="J11" i="15"/>
  <c r="J10" i="15"/>
  <c r="J9" i="15"/>
  <c r="J8" i="15"/>
  <c r="J7" i="15"/>
  <c r="J16" i="15"/>
  <c r="I20" i="19"/>
  <c r="I21" i="19"/>
  <c r="I10" i="19"/>
  <c r="M8" i="15"/>
  <c r="M9" i="15"/>
  <c r="M11" i="15"/>
  <c r="M12" i="15"/>
  <c r="M13" i="15"/>
  <c r="M14" i="15"/>
  <c r="M15" i="15"/>
  <c r="M7" i="15"/>
  <c r="M16" i="15"/>
  <c r="I116" i="22"/>
  <c r="G138" i="22"/>
  <c r="H144" i="22"/>
  <c r="E86" i="22"/>
  <c r="G86" i="22"/>
  <c r="G85" i="22"/>
  <c r="F85" i="22"/>
  <c r="F86" i="22"/>
  <c r="I86" i="22"/>
  <c r="O14" i="22"/>
  <c r="K16" i="22"/>
  <c r="H145" i="22"/>
  <c r="G140" i="22"/>
  <c r="I138" i="22"/>
  <c r="K22" i="22"/>
  <c r="P7" i="22"/>
  <c r="P11" i="22"/>
  <c r="I32" i="22"/>
  <c r="I34" i="22"/>
  <c r="F8" i="13"/>
  <c r="F10" i="13"/>
  <c r="I6" i="22"/>
  <c r="I8" i="22"/>
  <c r="F13" i="13"/>
  <c r="F15" i="13"/>
  <c r="G46" i="22"/>
  <c r="G48" i="22"/>
  <c r="G50" i="22"/>
  <c r="G52" i="22"/>
  <c r="G54" i="22"/>
  <c r="G56" i="22"/>
  <c r="G58" i="22"/>
  <c r="G60" i="22"/>
  <c r="F33" i="13"/>
  <c r="F35" i="13"/>
  <c r="F28" i="13"/>
  <c r="F30" i="13"/>
  <c r="F23" i="13"/>
  <c r="F25" i="13"/>
  <c r="F18" i="13"/>
  <c r="F20" i="13"/>
  <c r="B9" i="21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B9" i="18"/>
  <c r="I7" i="22"/>
  <c r="G44" i="22"/>
  <c r="G43" i="22"/>
  <c r="I33" i="22"/>
  <c r="G226" i="14"/>
  <c r="G19" i="13"/>
  <c r="H8" i="13"/>
  <c r="G243" i="14"/>
  <c r="H66" i="14"/>
  <c r="G152" i="14"/>
  <c r="H23" i="14"/>
  <c r="H11" i="14"/>
  <c r="H238" i="14"/>
  <c r="H198" i="14"/>
  <c r="H24" i="14"/>
  <c r="H18" i="13"/>
  <c r="G200" i="14"/>
  <c r="C20" i="13"/>
  <c r="G28" i="14"/>
  <c r="G116" i="14"/>
  <c r="G64" i="14"/>
  <c r="H153" i="14"/>
  <c r="G114" i="14"/>
  <c r="H184" i="14"/>
  <c r="H239" i="14"/>
  <c r="H67" i="14"/>
  <c r="H73" i="14"/>
  <c r="G13" i="13"/>
  <c r="H14" i="13"/>
  <c r="G38" i="14"/>
  <c r="G46" i="14"/>
  <c r="G69" i="14"/>
  <c r="H50" i="14"/>
  <c r="G241" i="14"/>
  <c r="H30" i="14"/>
  <c r="G155" i="14"/>
  <c r="G21" i="14"/>
  <c r="G195" i="14"/>
  <c r="H245" i="14"/>
  <c r="G97" i="14"/>
  <c r="G286" i="14"/>
  <c r="H296" i="14"/>
  <c r="H281" i="14"/>
  <c r="G71" i="14"/>
  <c r="H9" i="13"/>
  <c r="G109" i="14"/>
  <c r="H8" i="14"/>
  <c r="C48" i="14"/>
  <c r="G8" i="14"/>
  <c r="H183" i="14"/>
  <c r="H24" i="13"/>
  <c r="H23" i="13"/>
  <c r="H253" i="14"/>
  <c r="C25" i="13"/>
  <c r="G25" i="13" s="1"/>
  <c r="C134" i="14"/>
  <c r="C220" i="14"/>
  <c r="L519" i="25"/>
  <c r="M519" i="25"/>
  <c r="H159" i="14"/>
  <c r="H140" i="14"/>
  <c r="H110" i="14"/>
  <c r="G15" i="14"/>
  <c r="H124" i="14"/>
  <c r="H26" i="14"/>
  <c r="G686" i="25"/>
  <c r="H202" i="14"/>
  <c r="H13" i="13"/>
  <c r="H167" i="14"/>
  <c r="C35" i="13"/>
  <c r="G35" i="13" s="1"/>
  <c r="L521" i="25"/>
  <c r="M521" i="25"/>
  <c r="C525" i="25"/>
  <c r="H686" i="25"/>
  <c r="H545" i="25"/>
  <c r="E548" i="25"/>
  <c r="E547" i="25"/>
  <c r="E554" i="25"/>
  <c r="C526" i="25"/>
  <c r="G248" i="14"/>
  <c r="H248" i="14"/>
  <c r="C522" i="25"/>
  <c r="C524" i="25"/>
  <c r="M523" i="25"/>
  <c r="G110" i="14"/>
  <c r="G196" i="14"/>
  <c r="H33" i="13"/>
  <c r="C10" i="13"/>
  <c r="C306" i="14"/>
  <c r="H39" i="13"/>
  <c r="C177" i="14"/>
  <c r="C40" i="13"/>
  <c r="L523" i="25"/>
  <c r="F686" i="25"/>
  <c r="C250" i="14"/>
  <c r="G533" i="25"/>
  <c r="G545" i="25"/>
  <c r="F554" i="25"/>
  <c r="E555" i="25"/>
  <c r="G250" i="14"/>
  <c r="C263" i="14"/>
  <c r="H250" i="14"/>
  <c r="C59" i="14"/>
  <c r="F533" i="25"/>
  <c r="G59" i="14"/>
  <c r="H59" i="14"/>
  <c r="G557" i="25"/>
  <c r="C57" i="14"/>
  <c r="F558" i="25"/>
  <c r="G558" i="25"/>
  <c r="H57" i="14"/>
  <c r="C91" i="14"/>
  <c r="G57" i="14"/>
  <c r="G33" i="11" l="1"/>
  <c r="G68" i="11"/>
  <c r="H68" i="11"/>
  <c r="G12" i="11"/>
  <c r="G50" i="13"/>
  <c r="H45" i="13"/>
  <c r="H20" i="13"/>
  <c r="G30" i="13"/>
  <c r="G45" i="13"/>
  <c r="H50" i="13"/>
  <c r="H40" i="13"/>
  <c r="H10" i="13"/>
  <c r="G20" i="13"/>
  <c r="H15" i="13"/>
  <c r="G10" i="13"/>
  <c r="G15" i="13"/>
  <c r="G40" i="13"/>
  <c r="H35" i="13"/>
  <c r="H25" i="13"/>
  <c r="H30" i="13"/>
  <c r="H61" i="11"/>
  <c r="G61" i="11"/>
  <c r="G54" i="11"/>
  <c r="H33" i="11"/>
  <c r="H40" i="11"/>
  <c r="G47" i="11"/>
  <c r="H54" i="11"/>
  <c r="G19" i="11"/>
  <c r="G26" i="11"/>
  <c r="H12" i="11"/>
  <c r="H19" i="11"/>
  <c r="H47" i="11"/>
  <c r="G40" i="11"/>
  <c r="H26" i="11"/>
  <c r="G35" i="9"/>
  <c r="G45" i="9"/>
  <c r="H55" i="9"/>
  <c r="H65" i="9"/>
  <c r="H75" i="9"/>
  <c r="H85" i="9"/>
  <c r="H95" i="9"/>
  <c r="G15" i="9"/>
  <c r="H25" i="9"/>
  <c r="G95" i="9"/>
  <c r="H35" i="9"/>
  <c r="G75" i="9"/>
  <c r="H45" i="9"/>
  <c r="G65" i="9"/>
  <c r="G25" i="9"/>
  <c r="G55" i="9"/>
  <c r="H15" i="9"/>
  <c r="G85" i="9"/>
  <c r="G220" i="14"/>
  <c r="G306" i="14"/>
  <c r="G263" i="14"/>
  <c r="H392" i="14"/>
  <c r="H349" i="14"/>
  <c r="H91" i="14"/>
  <c r="H177" i="14"/>
  <c r="G349" i="14"/>
  <c r="H134" i="14"/>
  <c r="G48" i="14"/>
  <c r="G177" i="14"/>
  <c r="G91" i="14"/>
  <c r="H306" i="14"/>
  <c r="G134" i="14"/>
  <c r="H48" i="14"/>
  <c r="G392" i="14"/>
  <c r="H263" i="14"/>
  <c r="H220" i="14"/>
  <c r="H65" i="1"/>
  <c r="H15" i="1"/>
  <c r="G35" i="1"/>
  <c r="G45" i="1"/>
  <c r="G55" i="1"/>
  <c r="G65" i="1"/>
  <c r="G75" i="1"/>
  <c r="G95" i="1"/>
  <c r="G15" i="1"/>
  <c r="G25" i="1"/>
  <c r="H35" i="1"/>
  <c r="H45" i="1"/>
  <c r="H55" i="1"/>
  <c r="H75" i="1"/>
  <c r="G85" i="1"/>
  <c r="H95" i="1"/>
  <c r="H25" i="1"/>
  <c r="H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O335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Institut for sygdomsf
</t>
        </r>
      </text>
    </comment>
  </commentList>
</comments>
</file>

<file path=xl/sharedStrings.xml><?xml version="1.0" encoding="utf-8"?>
<sst xmlns="http://schemas.openxmlformats.org/spreadsheetml/2006/main" count="11034" uniqueCount="1033">
  <si>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</si>
  <si>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</si>
  <si>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</si>
  <si>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</si>
  <si>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</si>
  <si>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</si>
  <si>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</si>
  <si>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</si>
  <si>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</si>
  <si>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</si>
  <si>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</si>
  <si>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t>Begrundelse</t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</si>
  <si>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</si>
  <si>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</si>
  <si>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</si>
  <si>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</si>
  <si>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</si>
  <si>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</si>
  <si>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</si>
  <si>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</si>
  <si>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</si>
  <si>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</si>
  <si>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</si>
  <si>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</si>
  <si>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</si>
  <si>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</si>
  <si>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</si>
  <si>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</si>
  <si>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</si>
  <si>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</si>
  <si>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</si>
  <si>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</si>
  <si>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</si>
  <si>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</si>
  <si>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</si>
  <si>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</si>
  <si>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</si>
  <si>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</si>
  <si>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</si>
  <si>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</si>
  <si>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</si>
  <si>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</si>
  <si>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</si>
  <si>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</si>
  <si>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</si>
  <si>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</si>
  <si>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</si>
  <si>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</si>
  <si>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</si>
  <si>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Skema 6.1: Center for voldsramte (Bispebjerg)</t>
  </si>
  <si>
    <t>Skema 7: Vederlagsfrie ydelser mellem sygehusene. (1.000 kr.)</t>
  </si>
  <si>
    <t>Leasing- og lejeudgifter</t>
  </si>
  <si>
    <t>Afstemning af Øvrige i Region Hovedstaden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</si>
  <si>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</si>
  <si>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</si>
  <si>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</si>
  <si>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</si>
  <si>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</si>
  <si>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</si>
  <si>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</si>
  <si>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</si>
  <si>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</si>
  <si>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</si>
  <si>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</si>
  <si>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</si>
  <si>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</si>
  <si>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</si>
  <si>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</si>
  <si>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</si>
  <si>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</si>
  <si>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</si>
  <si>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</si>
  <si>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</si>
  <si>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</si>
  <si>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</si>
  <si>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</si>
  <si>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</si>
  <si>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</si>
  <si>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</si>
  <si>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</si>
  <si>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</si>
  <si>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</si>
  <si>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</si>
  <si>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</si>
  <si>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</si>
  <si>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</si>
  <si>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</si>
  <si>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</si>
  <si>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</si>
  <si>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</si>
  <si>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</si>
  <si>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</si>
  <si>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</si>
  <si>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</si>
  <si>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</si>
  <si>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</si>
  <si>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</si>
  <si>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</si>
  <si>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</si>
  <si>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</si>
  <si>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</si>
  <si>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</si>
  <si>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</si>
  <si>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</si>
  <si>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</si>
  <si>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</si>
  <si>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</si>
  <si>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</si>
  <si>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</si>
  <si>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</si>
  <si>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</si>
  <si>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</si>
  <si>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</si>
  <si>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</si>
  <si>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</si>
  <si>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</si>
  <si>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</si>
  <si>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</si>
  <si>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</si>
  <si>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</si>
  <si>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</si>
  <si>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</si>
  <si>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</si>
  <si>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</si>
  <si>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</si>
  <si>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</si>
  <si>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</si>
  <si>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</si>
  <si>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</si>
  <si>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</si>
  <si>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</si>
  <si>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</si>
  <si>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</si>
  <si>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</si>
  <si>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</si>
  <si>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</si>
  <si>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</si>
  <si>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</si>
  <si>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</si>
  <si>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</si>
  <si>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</si>
  <si>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</si>
  <si>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</si>
  <si>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</si>
  <si>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</si>
  <si>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</si>
  <si>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</si>
  <si>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</si>
  <si>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</si>
  <si>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</si>
  <si>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</si>
  <si>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</si>
  <si>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</si>
  <si>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</si>
  <si>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</si>
  <si>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</si>
  <si>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</si>
  <si>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</si>
  <si>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</si>
  <si>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</si>
  <si>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</si>
  <si>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</si>
  <si>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</si>
  <si>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</si>
  <si>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</si>
  <si>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</si>
  <si>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</si>
  <si>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</si>
  <si>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</si>
  <si>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</si>
  <si>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</si>
  <si>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</si>
  <si>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</si>
  <si>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</si>
  <si>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</si>
  <si>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</si>
  <si>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</si>
  <si>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</si>
  <si>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</si>
  <si>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>fra BFH</t>
  </si>
  <si>
    <t>2400 CIMT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</si>
  <si>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</si>
  <si>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</si>
  <si>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</si>
  <si>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</si>
  <si>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</si>
  <si>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</si>
  <si>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</si>
  <si>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</si>
  <si>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</si>
  <si>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</si>
  <si>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</si>
  <si>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</si>
  <si>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</si>
  <si>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</si>
  <si>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</si>
  <si>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</si>
  <si>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</si>
  <si>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</si>
  <si>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</si>
  <si>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</si>
  <si>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</si>
  <si>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</si>
  <si>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</si>
  <si>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</si>
  <si>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</si>
  <si>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</si>
  <si>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</si>
  <si>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</si>
  <si>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</si>
  <si>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</si>
  <si>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</si>
  <si>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</si>
  <si>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</si>
  <si>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</si>
  <si>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</si>
  <si>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</si>
  <si>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2019</t>
  </si>
  <si>
    <t>76</t>
  </si>
  <si>
    <t>1500</t>
  </si>
  <si>
    <t>Steno Diabetes Center CPH</t>
  </si>
  <si>
    <t>Betalinger – staten</t>
  </si>
  <si>
    <t>840</t>
  </si>
  <si>
    <t>400107</t>
  </si>
  <si>
    <t>Eft.reg.senged.Stat</t>
  </si>
  <si>
    <t>400186</t>
  </si>
  <si>
    <t>Efterreg.amb. behand</t>
  </si>
  <si>
    <t>400187</t>
  </si>
  <si>
    <t>PSP-element</t>
  </si>
  <si>
    <t>Bilagstekst</t>
  </si>
  <si>
    <t>#</t>
  </si>
  <si>
    <t>Ikke allokeret</t>
  </si>
  <si>
    <t>9000061</t>
  </si>
  <si>
    <t>Linde Gas A/S</t>
  </si>
  <si>
    <t>EL-AFREGNING, UDLÆG (LGT)</t>
  </si>
  <si>
    <t>HOMECARE PATIENTER</t>
  </si>
  <si>
    <t>L-13060</t>
  </si>
  <si>
    <t>Eksterne patienter</t>
  </si>
  <si>
    <t>HOMECARE PATIENTER - august 2019</t>
  </si>
  <si>
    <t>HOMECARE PATIENTER - december 2019</t>
  </si>
  <si>
    <t>HOMECARE PATIENTER - juli 2019</t>
  </si>
  <si>
    <t>HOMECARE PATIENTER - marts 2019</t>
  </si>
  <si>
    <t>HOMECARE PATIENTER - nov. 2019</t>
  </si>
  <si>
    <t>HOMECARE PATIENTER - sept. 2019</t>
  </si>
  <si>
    <t>HOMECARE PATIENTER, oktober 2019</t>
  </si>
  <si>
    <t>L-19986-11094</t>
  </si>
  <si>
    <t>Ilt til patienter/hjemmeilt</t>
  </si>
  <si>
    <t>2019/1 gent HOMECARE PATIENTER</t>
  </si>
  <si>
    <t>2019/1 gent. EL-AFREGNING, UDLÆG (LGT)</t>
  </si>
  <si>
    <t>2019/1 herlev EL-AFREGNING, UDLÆG (LGT)</t>
  </si>
  <si>
    <t>2019/1 herlev HOMECARE PATIENTER</t>
  </si>
  <si>
    <t>2019/10 gent. HOMECARE PATIENTER</t>
  </si>
  <si>
    <t>2019/10 herlev HOMECARE PATIENTER</t>
  </si>
  <si>
    <t>2019/10 herlev hjemmeilt</t>
  </si>
  <si>
    <t>2019/11 gent. HOMECARE PATIENTER</t>
  </si>
  <si>
    <t>2019/11 gent. hjemmeilt</t>
  </si>
  <si>
    <t>2019/11 herlev HOMECARE PATIENTER</t>
  </si>
  <si>
    <t>2019/11 herlev hjemmeilt</t>
  </si>
  <si>
    <t>2019/12 gent. HOMECARE PATIENTER</t>
  </si>
  <si>
    <t>2019/12 gentofte hjemmeilt</t>
  </si>
  <si>
    <t>2019/12 herlev HOMECARE PATIENTER</t>
  </si>
  <si>
    <t>2019/3 gent. HOMECARE PATIENTER</t>
  </si>
  <si>
    <t>2019/3 gentofte hjemmeilt</t>
  </si>
  <si>
    <t>2019/3 herlev HOMECARE PATIENTER</t>
  </si>
  <si>
    <t>2019/3 herlev hjemmeilt</t>
  </si>
  <si>
    <t>2019/4 gent. hjemmeilt</t>
  </si>
  <si>
    <t>2019/4 gentofte hjemmeilt</t>
  </si>
  <si>
    <t>2019/4 herlev hjemmeilt</t>
  </si>
  <si>
    <t>2019/5 el herlev hjemmeilt</t>
  </si>
  <si>
    <t>2019/5 gent. HOMECARE PA</t>
  </si>
  <si>
    <t>2019/5 herlev hjemmeilt</t>
  </si>
  <si>
    <t>2019/6 gent. HOMECARE PATIENTER</t>
  </si>
  <si>
    <t>2019/6 gentofte hjemmeilt</t>
  </si>
  <si>
    <t>2019/6 herlev HOMECARE PATIENTER</t>
  </si>
  <si>
    <t>2019/6 herlev hjemmeilt</t>
  </si>
  <si>
    <t>2019/69 herlev HOMECARE PATIENTER</t>
  </si>
  <si>
    <t>2019/7 gent. HOMECARE PATIENTER</t>
  </si>
  <si>
    <t>2019/8 herlev hjemmeilt</t>
  </si>
  <si>
    <t>2019/9 gent. HOMECARE PATIENTER</t>
  </si>
  <si>
    <t>2019/9 gent. hjemmeilt</t>
  </si>
  <si>
    <t>EL-AFREGNING, UDLÆG (LGT</t>
  </si>
  <si>
    <t>L-20820</t>
  </si>
  <si>
    <t>Hjemmebo. - respiratoriske hjælpemidler</t>
  </si>
  <si>
    <t>FS/AGA El  November 2019</t>
  </si>
  <si>
    <t>FS/AGA El  Oktober 2019</t>
  </si>
  <si>
    <t>FS/AGA El Apr. 2019</t>
  </si>
  <si>
    <t>FS/AGA El Dec. 2019</t>
  </si>
  <si>
    <t>FS/AGA El Feb. 2019</t>
  </si>
  <si>
    <t>FS/AGA El Januar 2019</t>
  </si>
  <si>
    <t>FS/AGA El Juli 2019</t>
  </si>
  <si>
    <t>FS/AGA El Maj 2019</t>
  </si>
  <si>
    <t>FS/AGA El Marts 2019</t>
  </si>
  <si>
    <t>FS/AGA El juni 2019</t>
  </si>
  <si>
    <t>FS/AGA ilt HOMECARE PATIENTER August 2019</t>
  </si>
  <si>
    <t>FS/AGA ilt HOMECARE PATIENTER Februar 2019</t>
  </si>
  <si>
    <t>FS/AGA ilt HOMECARE PATIENTER Januar 2019</t>
  </si>
  <si>
    <t>FS/AGA ilt HOMECARE PATIENTER Marts 2019</t>
  </si>
  <si>
    <t>FS/AGA ilt HOMECARE PATIENTER September 2019</t>
  </si>
  <si>
    <t>FS/AGA ilt HOMECARE PATIENTER april 2019</t>
  </si>
  <si>
    <t>FS/AGA ilt HOMECARE PATIENTER dec. 2019</t>
  </si>
  <si>
    <t>FS/AGA ilt HOMECARE PATIENTER juli 2019</t>
  </si>
  <si>
    <t>FS/AGA ilt HOMECARE PATIENTER juni 2019</t>
  </si>
  <si>
    <t>HI/AGA El  Dec. 2018</t>
  </si>
  <si>
    <t>HI/AGA El Apr. 2019</t>
  </si>
  <si>
    <t>HI/AGA El December 2018</t>
  </si>
  <si>
    <t>HI/AGA El Feb. 2019</t>
  </si>
  <si>
    <t>HI/AGA El Januar 2019</t>
  </si>
  <si>
    <t>HI/AGA El Juli 2019</t>
  </si>
  <si>
    <t>HI/AGA El Maj 2019</t>
  </si>
  <si>
    <t>HI/AGA El Marts 2019</t>
  </si>
  <si>
    <t>HI/AGA El November 2019</t>
  </si>
  <si>
    <t>HI/AGA El Oktober 2019</t>
  </si>
  <si>
    <t>HI/AGA El juni 2019</t>
  </si>
  <si>
    <t>HI/AGA ilt HOMECARE PATIENTER August 2019</t>
  </si>
  <si>
    <t>HI/AGA ilt HOMECARE PATIENTER Februar 20198</t>
  </si>
  <si>
    <t>HI/AGA ilt HOMECARE PATIENTER Januar 2019</t>
  </si>
  <si>
    <t>HI/AGA ilt HOMECARE PATIENTER Marts 2019</t>
  </si>
  <si>
    <t>HI/AGA ilt HOMECARE PATIENTER Okt. 2019</t>
  </si>
  <si>
    <t>HI/AGA ilt HOMECARE PATIENTER Sept. 2019</t>
  </si>
  <si>
    <t>HI/AGA ilt HOMECARE PATIENTER april 2019</t>
  </si>
  <si>
    <t>HI/AGA ilt HOMECARE PATIENTER dec. 2019</t>
  </si>
  <si>
    <t>HI/AGA ilt HOMECARE PATIENTER juli 2019</t>
  </si>
  <si>
    <t>HI/AGA ilt HOMECARE PATIENTER juni 2019</t>
  </si>
  <si>
    <t>HI/AGA ilt HOMECARE PATIENTER okt. 2019</t>
  </si>
  <si>
    <t>HOMECARE PATIENTER maj 2019</t>
  </si>
  <si>
    <t>EL-AFREGNING</t>
  </si>
  <si>
    <t>EL-AFREGNING, UDLÆG</t>
  </si>
  <si>
    <t>L-22016-00007</t>
  </si>
  <si>
    <t>AGA til ompostering</t>
  </si>
  <si>
    <t>AGA, fak. 6302910339</t>
  </si>
  <si>
    <t>AGA, fak. 6302910342</t>
  </si>
  <si>
    <t>AGA, fakt. 6302818980</t>
  </si>
  <si>
    <t>AGA, fakt. 6302818982</t>
  </si>
  <si>
    <t>AGA, fakt. 6302824887</t>
  </si>
  <si>
    <t>AGA, fakt. 6302824889</t>
  </si>
  <si>
    <t>AGA, fakt. 6302832096</t>
  </si>
  <si>
    <t>AGA, fakt. 6302832098</t>
  </si>
  <si>
    <t>AGA, fakt. 6302837706</t>
  </si>
  <si>
    <t>AGA, fakt. 6302837709</t>
  </si>
  <si>
    <t>AGA, fakt. 6302844918</t>
  </si>
  <si>
    <t>AGA, fakt. 6302844921</t>
  </si>
  <si>
    <t>AGA, fakt. 6302850477</t>
  </si>
  <si>
    <t>AGA, fakt. 6302850481</t>
  </si>
  <si>
    <t>AGA, fakt. 6302858533</t>
  </si>
  <si>
    <t>AGA, fakt. 6302858535</t>
  </si>
  <si>
    <t>AGA, fakt. 6302864074</t>
  </si>
  <si>
    <t>AGA, fakt. 6302864076</t>
  </si>
  <si>
    <t>AGA, fakt. 6302871581</t>
  </si>
  <si>
    <t>AGA, fakt. 6302871586</t>
  </si>
  <si>
    <t>AGA, fakt. 6302876827</t>
  </si>
  <si>
    <t>AGA, fakt. 6302876830</t>
  </si>
  <si>
    <t>AGA, fakt. 6302884087</t>
  </si>
  <si>
    <t>AGA, fakt. 6302884090</t>
  </si>
  <si>
    <t>AGA, fakt. 6302890869</t>
  </si>
  <si>
    <t>AGA, fakt. 6302890877</t>
  </si>
  <si>
    <t>AGA, fakt. 6302897009</t>
  </si>
  <si>
    <t>AGA, fakt. 6302897012</t>
  </si>
  <si>
    <t>AGA, fakt. 6302902794</t>
  </si>
  <si>
    <t>AGA, fakt. 6302902797</t>
  </si>
  <si>
    <t>AGA, fakt. 6302915318</t>
  </si>
  <si>
    <t>AGA, fakt. 6302915329</t>
  </si>
  <si>
    <t>AGA, fakt. 6302922891</t>
  </si>
  <si>
    <t>AGA, fakt. 6302922894</t>
  </si>
  <si>
    <t>AGA, fakt. 6302929538</t>
  </si>
  <si>
    <t>AGA, fakt. 6302929543</t>
  </si>
  <si>
    <t>AGA, fakt. 6302936362</t>
  </si>
  <si>
    <t>AGA, fakt. 6302936365</t>
  </si>
  <si>
    <t>AGA, fakt. 6302942700</t>
  </si>
  <si>
    <t>AGA, fakt. 6302942704</t>
  </si>
  <si>
    <t>AGA, fakt. 6302950066</t>
  </si>
  <si>
    <t>AGA, fakt. 6302950069</t>
  </si>
  <si>
    <t>AGA, fakt. 6302956897</t>
  </si>
  <si>
    <t>AGA, fakt. 6302956900</t>
  </si>
  <si>
    <t>AGA, fakt. 6302963294</t>
  </si>
  <si>
    <t>AGA, fakt. 6302963297</t>
  </si>
  <si>
    <t>AGA, fakt. 6302968689</t>
  </si>
  <si>
    <t>AGA, fakt. 6302968692</t>
  </si>
  <si>
    <t>Hjemmeilt</t>
  </si>
  <si>
    <t>Domstolsstyrelsen (skifteretten)</t>
  </si>
  <si>
    <t>9028486</t>
  </si>
  <si>
    <t>Engangskreditor - udlæg</t>
  </si>
  <si>
    <t>7000011</t>
  </si>
  <si>
    <t>Regnskabsår</t>
  </si>
  <si>
    <t>Juliane Marie Centre</t>
  </si>
  <si>
    <t>1000A2209</t>
  </si>
  <si>
    <t>Somatiske sygehuse</t>
  </si>
  <si>
    <t>Sundheds og ældreministeriet IKS 4 kvt. 2019</t>
  </si>
  <si>
    <t>Betalinger fra state</t>
  </si>
  <si>
    <t>Kennedy, Rett</t>
  </si>
  <si>
    <t>Sundheds og ældreministeriet IKS 1-2-3 kvt 2019</t>
  </si>
  <si>
    <t>Finanslovsmidler fødeafdelinger 2019</t>
  </si>
  <si>
    <t>FL-midl. til løft af kval. på fødeomr ll</t>
  </si>
  <si>
    <t>L-22090-00024</t>
  </si>
  <si>
    <t>HovedOrtoCentret</t>
  </si>
  <si>
    <t>1000A2206</t>
  </si>
  <si>
    <t>Kennedy, øjen</t>
  </si>
  <si>
    <t>Center for Kræft og</t>
  </si>
  <si>
    <t>1000A2204</t>
  </si>
  <si>
    <t>Tilskud fra staten (SST), eksperimentel kræftkirur</t>
  </si>
  <si>
    <t>Tilskud fra staten (SST) eksperimentel Kræftkirurg</t>
  </si>
  <si>
    <t>Sundhedsstyrelsen - CKO - SEP 19 - Jørgen Schmidt</t>
  </si>
  <si>
    <t>Bev. SST til eksperimentel kræftkirurgi</t>
  </si>
  <si>
    <t>L-22040-00048</t>
  </si>
  <si>
    <t>Diagnostisk Center</t>
  </si>
  <si>
    <t>1000A2202</t>
  </si>
  <si>
    <t>Kennedy</t>
  </si>
  <si>
    <t>Direktion og stabe</t>
  </si>
  <si>
    <t>1000A2201</t>
  </si>
  <si>
    <t>Finanslovsmidler til forskning 4. kvartal 2019</t>
  </si>
  <si>
    <t>Finanslovmidler til forskning</t>
  </si>
  <si>
    <t>Løft af kvalitet på fødeafdelinger</t>
  </si>
  <si>
    <t>L-21205-80009</t>
  </si>
  <si>
    <t>Øget bemanding og uddannelse</t>
  </si>
  <si>
    <t>L-20252-00006</t>
  </si>
  <si>
    <t>Imødegåelse af stigende fødselstal</t>
  </si>
  <si>
    <t>L-20252-00005</t>
  </si>
  <si>
    <t>Finanslovsmidler</t>
  </si>
  <si>
    <t>L-19986-14003</t>
  </si>
  <si>
    <t>Cochrane</t>
  </si>
  <si>
    <t>E-19215-01</t>
  </si>
  <si>
    <t>Finanslovsmidler (fødeafsnit)</t>
  </si>
  <si>
    <t>L-13001-00080</t>
  </si>
  <si>
    <t>Sundheds/Ældreminist - Giftlinien 4. kvt 2019</t>
  </si>
  <si>
    <t>Sundheds/Ældreminist - Giftlinien 2. + 3. kvt 2019</t>
  </si>
  <si>
    <t>Sundheds/Ældreminist - Giftlinien 1. kvt 2019</t>
  </si>
  <si>
    <t>Betalinger fra Staten til finansiering af aktivitet</t>
  </si>
  <si>
    <t>heraf forskning</t>
  </si>
  <si>
    <t>Forskning - Centerle</t>
  </si>
  <si>
    <t>1000A2290090</t>
  </si>
  <si>
    <t>Seksuelt misbrugte børn</t>
  </si>
  <si>
    <t>F-22348-18</t>
  </si>
  <si>
    <t>200013113</t>
  </si>
  <si>
    <t>Overførsel af 2019 bevilling til JMC´s drift</t>
  </si>
  <si>
    <t>Øvrige indtægter</t>
  </si>
  <si>
    <t>Videncenter for Voldtægtsofre</t>
  </si>
  <si>
    <t>F-22348-16</t>
  </si>
  <si>
    <t>Rammebevillinger</t>
  </si>
  <si>
    <t>JulianeMarieCentret</t>
  </si>
  <si>
    <t>1000A2290000</t>
  </si>
  <si>
    <t>Bilagsnummer HB</t>
  </si>
  <si>
    <t>Bevillingstype</t>
  </si>
  <si>
    <t>Sundhed- og ældreministeriet AVT Midler AUD 06-19</t>
  </si>
  <si>
    <t>AVT-midler CI opererede børn</t>
  </si>
  <si>
    <t>Center for voldtægtsofre</t>
  </si>
  <si>
    <t>veteraner</t>
  </si>
  <si>
    <t>L-22900-00066</t>
  </si>
  <si>
    <t>Veteraner</t>
  </si>
  <si>
    <t>F-23332-01</t>
  </si>
  <si>
    <t>Veterankontoen</t>
  </si>
  <si>
    <t>L-22900-00046</t>
  </si>
  <si>
    <t>L-22900-00081</t>
  </si>
  <si>
    <t>LUKKET: PhD. vedrørende veteranmidler</t>
  </si>
  <si>
    <t>L-22900-00159</t>
  </si>
  <si>
    <t>Rehabilitation of wounded veterans in</t>
  </si>
  <si>
    <t>Tek.nulstil F-PSP</t>
  </si>
  <si>
    <t>405099</t>
  </si>
  <si>
    <t>Vare/tjenesteydelser</t>
  </si>
  <si>
    <t>405282</t>
  </si>
  <si>
    <t>250325</t>
  </si>
  <si>
    <t>Husleje</t>
  </si>
  <si>
    <t>SHURGARD DENMARK ApS</t>
  </si>
  <si>
    <t>9013765</t>
  </si>
  <si>
    <t>PARKEN SPORT &amp; ENTERTAINMENT A/S</t>
  </si>
  <si>
    <t>9012573</t>
  </si>
  <si>
    <t>DAB</t>
  </si>
  <si>
    <t>9009885</t>
  </si>
  <si>
    <t>SYDHAVNENS FRYSEHUS ApS</t>
  </si>
  <si>
    <t>9009451</t>
  </si>
  <si>
    <t>ADAPTEO A/S - Flere Binavne Bla.</t>
  </si>
  <si>
    <t>9000151</t>
  </si>
  <si>
    <t>AGRI-NORCOLD A/S</t>
  </si>
  <si>
    <t>9022600</t>
  </si>
  <si>
    <t>IRON MOUNTAIN A/S</t>
  </si>
  <si>
    <t>9007728</t>
  </si>
  <si>
    <t>AKVARIE-LEASING DENMARK, FILIAL AF</t>
  </si>
  <si>
    <t>9019263</t>
  </si>
  <si>
    <t>FOCUS LEASING A/S</t>
  </si>
  <si>
    <t>9012213</t>
  </si>
  <si>
    <t>GRENKELEASING ApS</t>
  </si>
  <si>
    <t>9007358</t>
  </si>
  <si>
    <t>Forbrug
JAN - DEC 2019</t>
  </si>
  <si>
    <t>207923</t>
  </si>
  <si>
    <t>Privat leverandør</t>
  </si>
  <si>
    <t>FALCK DANMARK A/S</t>
  </si>
  <si>
    <t>SOS INTERNATIONAL A/S</t>
  </si>
  <si>
    <t>Trafikselskabet Movia</t>
  </si>
  <si>
    <t>207928</t>
  </si>
  <si>
    <t>Pat.transp. alm moms</t>
  </si>
  <si>
    <t>BROBIZZ A/S</t>
  </si>
  <si>
    <t>Vognmand Jesper Trankjær Jespersen</t>
  </si>
  <si>
    <t>Ambulancetjenesten</t>
  </si>
  <si>
    <t>Bispebjerg &amp; Frederiksberg Hospital</t>
  </si>
  <si>
    <t>Dantaxi 4x48 F.m.b.a.</t>
  </si>
  <si>
    <t>HELSINGØR TURISTTRAFIK &amp; REJSEBUREA</t>
  </si>
  <si>
    <t>EMIL LORRY NIELSEN</t>
  </si>
  <si>
    <t>Region Sjælland</t>
  </si>
  <si>
    <t>VIA EGENCIA DENMARK A/S</t>
  </si>
  <si>
    <t>Patienttransport</t>
  </si>
  <si>
    <t>Befordring, donorer</t>
  </si>
  <si>
    <t>L-13020-00007</t>
  </si>
  <si>
    <t>Fribefordring - TUR</t>
  </si>
  <si>
    <t>L-13020-00006</t>
  </si>
  <si>
    <t>Fribefordring, Johns Busser</t>
  </si>
  <si>
    <t>L-13020-00005</t>
  </si>
  <si>
    <t>Fribefordring, Færgen</t>
  </si>
  <si>
    <t>L-13020-00004</t>
  </si>
  <si>
    <t>Fribefordring, andet</t>
  </si>
  <si>
    <t>L-13020-00003</t>
  </si>
  <si>
    <t>Fribefordring, Fly</t>
  </si>
  <si>
    <t>L-13020-00002</t>
  </si>
  <si>
    <t>Fribefordring, Falck</t>
  </si>
  <si>
    <t>L-13020-00001</t>
  </si>
  <si>
    <t>140</t>
  </si>
  <si>
    <t>Øvrige lægelige arti</t>
  </si>
  <si>
    <t>110</t>
  </si>
  <si>
    <t>Materiale- og aktivi</t>
  </si>
  <si>
    <t>020</t>
  </si>
  <si>
    <t>Køb/salg af jord</t>
  </si>
  <si>
    <t>030</t>
  </si>
  <si>
    <t>Køb/salg af bygninge</t>
  </si>
  <si>
    <t>150</t>
  </si>
  <si>
    <t>Kliniske analyser</t>
  </si>
  <si>
    <t>420</t>
  </si>
  <si>
    <t>Forsyning</t>
  </si>
  <si>
    <t>410</t>
  </si>
  <si>
    <t>Ejendomsudgifter</t>
  </si>
  <si>
    <t>320</t>
  </si>
  <si>
    <t>Drift og vedligehold</t>
  </si>
  <si>
    <t>310</t>
  </si>
  <si>
    <t>Anskaffelser, invent</t>
  </si>
  <si>
    <t>010</t>
  </si>
  <si>
    <t>Anlægstilskud</t>
  </si>
  <si>
    <t>Sjøgren</t>
  </si>
  <si>
    <t>226251704</t>
  </si>
  <si>
    <t>Kæberesektioner</t>
  </si>
  <si>
    <t>226251703</t>
  </si>
  <si>
    <t>Fokussanering</t>
  </si>
  <si>
    <t>226251702</t>
  </si>
  <si>
    <t>Kemoterapi</t>
  </si>
  <si>
    <t>226251701</t>
  </si>
  <si>
    <t>Strålebehandling</t>
  </si>
  <si>
    <t>226251700</t>
  </si>
  <si>
    <t>Tilskudsordninger</t>
  </si>
  <si>
    <t>1000A2262517</t>
  </si>
  <si>
    <t>Tilskudsordninger - tænder</t>
  </si>
  <si>
    <t>1000A2262512</t>
  </si>
  <si>
    <t>Tand Tværgående</t>
  </si>
  <si>
    <t>L-22060-00086</t>
  </si>
  <si>
    <t>Bøjletilretning vedr. kæbeanomalier. Pro</t>
  </si>
  <si>
    <t>SC - CVR</t>
  </si>
  <si>
    <t>122000503</t>
  </si>
  <si>
    <t>Tjenesteydelser</t>
  </si>
  <si>
    <t>230026</t>
  </si>
  <si>
    <t>Statusatt.mv u.moms</t>
  </si>
  <si>
    <t>402809</t>
  </si>
  <si>
    <t>Statusatt.mv m.moms</t>
  </si>
  <si>
    <t>402811</t>
  </si>
  <si>
    <t>Kørselsgodtgørelse</t>
  </si>
  <si>
    <t>230008</t>
  </si>
  <si>
    <t>Kurser/Hotelophold</t>
  </si>
  <si>
    <t>200301</t>
  </si>
  <si>
    <t>Konvertible særydels</t>
  </si>
  <si>
    <t>105002</t>
  </si>
  <si>
    <t>Jobannoncer</t>
  </si>
  <si>
    <t>200700</t>
  </si>
  <si>
    <t>Ikke konvertib.særyd</t>
  </si>
  <si>
    <t>105003</t>
  </si>
  <si>
    <t>Honrar ej ans.B-indk</t>
  </si>
  <si>
    <t>225039</t>
  </si>
  <si>
    <t>Forplejning</t>
  </si>
  <si>
    <t>200701</t>
  </si>
  <si>
    <t>Ferie/Løn</t>
  </si>
  <si>
    <t>113001</t>
  </si>
  <si>
    <t>Fast løn</t>
  </si>
  <si>
    <t>101001</t>
  </si>
  <si>
    <t>Anskaf. telefoniappa</t>
  </si>
  <si>
    <t>245340</t>
  </si>
  <si>
    <t>Ansk IT Hard pctilbe</t>
  </si>
  <si>
    <t>245331</t>
  </si>
  <si>
    <t>Andre refusioner</t>
  </si>
  <si>
    <t>108003</t>
  </si>
  <si>
    <t>Center for Vold, eks tolk</t>
  </si>
  <si>
    <t>Direkte</t>
  </si>
  <si>
    <t>Indirekte</t>
  </si>
  <si>
    <t>Z - Forgiftningsrådg</t>
  </si>
  <si>
    <t>123052000</t>
  </si>
  <si>
    <t>1000A1230520</t>
  </si>
  <si>
    <t>Giftlinjen</t>
  </si>
  <si>
    <t>Farm - Medicinfunkt.</t>
  </si>
  <si>
    <t>128250504</t>
  </si>
  <si>
    <t>Klinisk farmakologi, rådgivning af praksis</t>
  </si>
  <si>
    <t>1000A12825</t>
  </si>
  <si>
    <t>Farm - Klinisk Farma</t>
  </si>
  <si>
    <t>L-12825-00008</t>
  </si>
  <si>
    <t>Forgiftningsrådgivning - giftlinien</t>
  </si>
  <si>
    <t>bla. transport</t>
  </si>
  <si>
    <t>bla. Ejendonsskat, forsikring</t>
  </si>
  <si>
    <t>bla. forsikring,vægtafgift</t>
  </si>
  <si>
    <t>Tolke - Fremmedsprog</t>
  </si>
  <si>
    <t>Kolding Tolkebureau I/S</t>
  </si>
  <si>
    <t>9030911</t>
  </si>
  <si>
    <t>KD Link v/Li Ou Müller</t>
  </si>
  <si>
    <t>9030349</t>
  </si>
  <si>
    <t>Nordisk Sproglink Vappu Elina Vähäl</t>
  </si>
  <si>
    <t>9030039</t>
  </si>
  <si>
    <t>Emilie Lange Tolkning</t>
  </si>
  <si>
    <t>9029908</t>
  </si>
  <si>
    <t>Tolk/Oversætter v/Dorthea Berthelse</t>
  </si>
  <si>
    <t>9029102</t>
  </si>
  <si>
    <t>TOLKDANMARK ApS</t>
  </si>
  <si>
    <t>9021743</t>
  </si>
  <si>
    <t>Sprog Kommunikation og Tolketjenest</t>
  </si>
  <si>
    <t>9021503</t>
  </si>
  <si>
    <t>SOCIAL MEDICINSK TOLKESERVICE A/S</t>
  </si>
  <si>
    <t>9005608</t>
  </si>
  <si>
    <t>Koch v/Heidi Ryberg</t>
  </si>
  <si>
    <t>9001951</t>
  </si>
  <si>
    <t>SK Tolkeservice Aps</t>
  </si>
  <si>
    <t>9000566</t>
  </si>
  <si>
    <t>9000401</t>
  </si>
  <si>
    <t>SAHVA A/S</t>
  </si>
  <si>
    <t>9000317</t>
  </si>
  <si>
    <t>Translatør og tolk Michael Abildgaa</t>
  </si>
  <si>
    <t>9030444</t>
  </si>
  <si>
    <t>ViTolker ApS</t>
  </si>
  <si>
    <t>9029998</t>
  </si>
  <si>
    <t>Anna Lupa</t>
  </si>
  <si>
    <t>9029233</t>
  </si>
  <si>
    <t>Tolkeservice Danmark ApS</t>
  </si>
  <si>
    <t>9000672</t>
  </si>
  <si>
    <t>Albansk Tolk og Støttepædagog</t>
  </si>
  <si>
    <t>9026995</t>
  </si>
  <si>
    <t>AHZ Tigrina Tolk - Abraham Haile</t>
  </si>
  <si>
    <t>9016582</t>
  </si>
  <si>
    <t>Anno14</t>
  </si>
  <si>
    <t>9014508</t>
  </si>
  <si>
    <t>Tolke - Fremmedesprog</t>
  </si>
  <si>
    <t>Farm - Projekter</t>
  </si>
  <si>
    <t>1000A1282510</t>
  </si>
  <si>
    <t>Farm - Zelo K Forsøg</t>
  </si>
  <si>
    <t>128250505</t>
  </si>
  <si>
    <t>Farm - RH lab forskn</t>
  </si>
  <si>
    <t>128250503</t>
  </si>
  <si>
    <t>Farm - RH lab</t>
  </si>
  <si>
    <t>128250502</t>
  </si>
  <si>
    <t>Farm - BBH</t>
  </si>
  <si>
    <t>128250501</t>
  </si>
  <si>
    <t>Farm - Afsnit</t>
  </si>
  <si>
    <t>1000A1282505</t>
  </si>
  <si>
    <t>Farm - Fælles</t>
  </si>
  <si>
    <t>1000A1282500</t>
  </si>
  <si>
    <t>Klinisk Farmakologi, eks. forgiftningsrådgivningen</t>
  </si>
  <si>
    <t>Prasksis</t>
  </si>
  <si>
    <t>Hospital</t>
  </si>
  <si>
    <t>7,2</t>
  </si>
  <si>
    <t>CKFF - Projekter</t>
  </si>
  <si>
    <t>1000A1281505</t>
  </si>
  <si>
    <t>Forebyggelseslaboratoriet</t>
  </si>
  <si>
    <t>L-12815-00010</t>
  </si>
  <si>
    <t>CKFF - Klinisk Forsk</t>
  </si>
  <si>
    <t>1000A12815</t>
  </si>
  <si>
    <t>Forebyggelseslaboratorium</t>
  </si>
  <si>
    <t>RHR</t>
  </si>
  <si>
    <t>225051702</t>
  </si>
  <si>
    <t>RHO</t>
  </si>
  <si>
    <t>225051701</t>
  </si>
  <si>
    <t>Respiratoriske ordni</t>
  </si>
  <si>
    <t>1000A2250517</t>
  </si>
  <si>
    <t>Respiratorhjælperordningen RH, eks. patienttransport</t>
  </si>
  <si>
    <t>Sonderemedier</t>
  </si>
  <si>
    <t>L-20102-00005</t>
  </si>
  <si>
    <t>Personaleforsikring</t>
  </si>
  <si>
    <t>200500</t>
  </si>
  <si>
    <t>Arbejdsskadeforsikr</t>
  </si>
  <si>
    <t>200501</t>
  </si>
  <si>
    <t>9007647</t>
  </si>
  <si>
    <t>Sedgwick Leif Hansen A/S C/O</t>
  </si>
  <si>
    <t>200502</t>
  </si>
  <si>
    <t>Erstatning</t>
  </si>
  <si>
    <t>207715</t>
  </si>
  <si>
    <t>220</t>
  </si>
  <si>
    <t>Erstatninger</t>
  </si>
  <si>
    <t>207701</t>
  </si>
  <si>
    <t>9000421</t>
  </si>
  <si>
    <t>TRYG FORSIKRING A/S</t>
  </si>
  <si>
    <t>9000452</t>
  </si>
  <si>
    <t>WILLIS I/S</t>
  </si>
  <si>
    <t>Patient erstatning</t>
  </si>
  <si>
    <t>207703</t>
  </si>
  <si>
    <t>Forsikring/vægtafgif</t>
  </si>
  <si>
    <t>245951</t>
  </si>
  <si>
    <t>210</t>
  </si>
  <si>
    <t>Patientforsikringer</t>
  </si>
  <si>
    <t>207700</t>
  </si>
  <si>
    <t>207704</t>
  </si>
  <si>
    <t>7000010</t>
  </si>
  <si>
    <t>Engangskreditor - honorar m/oplysni</t>
  </si>
  <si>
    <t>9001123</t>
  </si>
  <si>
    <t>SKAT</t>
  </si>
  <si>
    <t>9029179</t>
  </si>
  <si>
    <t>Optometrist Pernille Drage</t>
  </si>
  <si>
    <t>9024498</t>
  </si>
  <si>
    <t>PROTECTOR FORSIKRING DANMARK, FILIA</t>
  </si>
  <si>
    <t>Forsikring</t>
  </si>
  <si>
    <t>250322</t>
  </si>
  <si>
    <t>9023549</t>
  </si>
  <si>
    <t>ELMER Advokataktieselskab</t>
  </si>
  <si>
    <t>9029226</t>
  </si>
  <si>
    <t>Bremer Advokater P/S</t>
  </si>
  <si>
    <t>Forsikringer/erstatninger/vægtafgift</t>
  </si>
  <si>
    <t>245921</t>
  </si>
  <si>
    <t>Vedligehold ydelser</t>
  </si>
  <si>
    <t>medicinfkt.</t>
  </si>
  <si>
    <t>10 % på resterende</t>
  </si>
  <si>
    <t>1000A22605</t>
  </si>
  <si>
    <t>Øjenklinikken, E</t>
  </si>
  <si>
    <t>8000016</t>
  </si>
  <si>
    <t>Praksis (sygesikring)</t>
  </si>
  <si>
    <t>L-22060-00094</t>
  </si>
  <si>
    <t>Populationsansvar, Øjenklinikken</t>
  </si>
  <si>
    <t>Center for Sundhed - Forbrug på private Øjenklinik</t>
  </si>
  <si>
    <t>Forbrug privathospitaler Øjenspecialet</t>
  </si>
  <si>
    <t>Forbrug på fremmede sygehuse - Øjenklinikken</t>
  </si>
  <si>
    <t>123050400</t>
  </si>
  <si>
    <t>Z - Sekretariat</t>
  </si>
  <si>
    <t>123050403</t>
  </si>
  <si>
    <t>Z - Læger</t>
  </si>
  <si>
    <t>1000A2294532</t>
  </si>
  <si>
    <t>Kennedy Centret, PKU</t>
  </si>
  <si>
    <t>207900</t>
  </si>
  <si>
    <t>Forplejning varekøb</t>
  </si>
  <si>
    <t>BENT HOLM-NEC LTD A/S NEC LTD A/S</t>
  </si>
  <si>
    <t>BUUR &amp; SØGAARD ApS</t>
  </si>
  <si>
    <t>Evibra Danmark B.V</t>
  </si>
  <si>
    <t>metaX GmbH Institut für Diätetik</t>
  </si>
  <si>
    <t>metaX Institut für Diätetik GmbH</t>
  </si>
  <si>
    <t>NAVAMEDIC DANMARK, FILIAL AF NAVAME</t>
  </si>
  <si>
    <t>NUTRICIA A/S</t>
  </si>
  <si>
    <t>POA PHARMA SCANDINAVIA, FILIAL AFPO</t>
  </si>
  <si>
    <t>SEMPER DANMARK ApS</t>
  </si>
  <si>
    <t>229453201</t>
  </si>
  <si>
    <t>Diæter</t>
  </si>
  <si>
    <t>Diætpræperater PKU, Hjemmebehandling</t>
  </si>
  <si>
    <t>Z - Sekretariat (BI_3411)</t>
  </si>
  <si>
    <t>Z - Læger (BI_3412)</t>
  </si>
  <si>
    <t>AMED - Løn</t>
  </si>
  <si>
    <t>FARM - Løn</t>
  </si>
  <si>
    <t>PL 2019</t>
  </si>
  <si>
    <t>1000A12205</t>
  </si>
  <si>
    <t>AMED - Arbejds-, Mil</t>
  </si>
  <si>
    <t>Løn forgiftningsråd</t>
  </si>
  <si>
    <t>Neonataltransporter</t>
  </si>
  <si>
    <t>OH</t>
  </si>
  <si>
    <t>Indirette</t>
  </si>
  <si>
    <t>1.60.40: Andel af central administration af sundhed (til og med 2019)</t>
  </si>
  <si>
    <t>1.50.33: Andel af central administration af sundhed (ekskl. psykiatri)</t>
  </si>
  <si>
    <t>1.50.35: Administration af det psykiatriske område (kun central del)</t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</si>
  <si>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Regionale fællesudgifter og -indtægter. (1.000 kr.)</t>
    </r>
  </si>
  <si>
    <t>Δ2019-2020</t>
  </si>
  <si>
    <t>Skema 6.2: Ventilatørbistand i hjemmet, respiratorpatienter</t>
  </si>
  <si>
    <t>Skema 6.3: Blodprøvetagning i eget hjem</t>
  </si>
  <si>
    <t>Skema 6.4: Psykinfo + pårørende</t>
  </si>
  <si>
    <t>Skema 6.5: Leveret udstyr til patienter i eget hjem, ilt og sonderemedier</t>
  </si>
  <si>
    <t>Skema 6.6: Montebello (Nordsjællands Hospitaler)</t>
  </si>
  <si>
    <t>Skema 6.7: Satspulje korrektioner mellem år</t>
  </si>
  <si>
    <t>Skema 6.8: Klinisk farmakologisk rådgivning af praksissektoren</t>
  </si>
  <si>
    <t>Skema 6.9: Tandregulering ifm. operation</t>
  </si>
  <si>
    <t>Skema 6.10: Giftlinjen</t>
  </si>
  <si>
    <t>Skema 6.11: Tjenestemandspensioner</t>
  </si>
  <si>
    <t>Skema 6.12: Art 4.6 Betalinger til staten</t>
  </si>
  <si>
    <t>Skema 6.13: Art 4.7 Betalinger til kommuner</t>
  </si>
  <si>
    <t>Skema 6.14: Art 4.8 Betalinger til andre regioner</t>
  </si>
  <si>
    <t>Skema 6.15: Art 7.6 Betalinger fra staten</t>
  </si>
  <si>
    <t>Skema 6.16: Art 7.7 Betalinger fra kommuner</t>
  </si>
  <si>
    <t>Skema 6.17: Art 7.8 Betalinger fra andre regioner</t>
  </si>
  <si>
    <t>Skema 6.18: Betalinger til selvejende, private og udenlandske sygehuse</t>
  </si>
  <si>
    <t>Skema 6.19: Dækningsafgift/ejendomsskat</t>
  </si>
  <si>
    <t>Skema 6.20: Forsikringer/erstatninger</t>
  </si>
  <si>
    <t>Skema 6.21: Vederlagsfri Lab. –ydelser og andre ydelser til praksissektoren</t>
  </si>
  <si>
    <t>Skema 6.22: Patienttransport</t>
  </si>
  <si>
    <t>Skema 6.23: Serviceydelser til/fra andre institutioner eller sygehuse udenfor regionen</t>
  </si>
  <si>
    <t>Skema 6.24: Udgifter til eksternt finansierede forskning</t>
  </si>
  <si>
    <t>Skema 6.25: Forebyggelse rettet mod praksissektoren og kommuner</t>
  </si>
  <si>
    <t>Skema 6.26: Praksisreservelæger</t>
  </si>
  <si>
    <t>Skema 6.27: Præhospital</t>
  </si>
  <si>
    <t>Skema 6.28: Udgifter til Danske Regioner (Kontigent, MedCom, Fællesproj.)</t>
  </si>
  <si>
    <t>Skema 6.29: Hospice</t>
  </si>
  <si>
    <t>Skema 6.30: Konsulenter(Praksis)</t>
  </si>
  <si>
    <t>Skema 6.31: Videnskabsetisk Komité</t>
  </si>
  <si>
    <t>Skema 6.32: Tolkebistand</t>
  </si>
  <si>
    <t>Skema 6.33: Dansk Center for Partikelterapi</t>
  </si>
  <si>
    <t>Skema 6.34: Politisk organisation – overførte udgifter fra funktion 4.10.01, 4.10.02 og 4.10.04</t>
  </si>
  <si>
    <t>Skema 6.35: Øvrige udgifter, Region Sjælland</t>
  </si>
  <si>
    <t>Skema 6.36: Sundhedsydelser ifm. specialsektor</t>
  </si>
  <si>
    <t>Skema 6.37: Udgifter til primær sundhed fra skema 2</t>
  </si>
  <si>
    <t>Skema 6.38: Udgifter til primær sundhed fra skema 3</t>
  </si>
  <si>
    <t>Skema 6.39: Særlige udgifter ifm. COVID-19</t>
  </si>
  <si>
    <t>Skema 6.40: Øvrige (Kan kun benyttes efter aftale med Sundhedsdatastyrelsen)</t>
  </si>
  <si>
    <t>Skema 3:Regionale fællesudgifter og -indtægter. (1.000 kr.)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</si>
  <si>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</si>
  <si>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vedrørende sygehusene.
(1.000 kr.)</t>
    </r>
  </si>
  <si>
    <t>Skema 1: Udgifter og indtægter på sygehusene/enhederne, eksklusiv omkostningssted 0001, Fælleskonto. (1.000 kr.)</t>
  </si>
  <si>
    <t>Skema 2: Fællesudgifter og -indtægter vedrørende sygehusene.
(1.000 kr.)</t>
  </si>
  <si>
    <t>2020</t>
  </si>
  <si>
    <t>15034</t>
  </si>
  <si>
    <t>Decentral administra</t>
  </si>
  <si>
    <t>Patient indtægter -  Mellemregionalafregning mv.</t>
  </si>
  <si>
    <t>9000061 Linde Gas A/S</t>
  </si>
  <si>
    <t>Ilt til patienter i eget hjem</t>
  </si>
  <si>
    <t>9000003</t>
  </si>
  <si>
    <t>MEDIQ DANMARK A/S</t>
  </si>
  <si>
    <t>9000051</t>
  </si>
  <si>
    <t>A&amp;C CATERING A/S</t>
  </si>
  <si>
    <t>9000221</t>
  </si>
  <si>
    <t>9000427</t>
  </si>
  <si>
    <t>UNILABS A/S</t>
  </si>
  <si>
    <t>9000553</t>
  </si>
  <si>
    <t>FILIAL AV NORDICINFU CARE AB, SVERI</t>
  </si>
  <si>
    <t>9000736</t>
  </si>
  <si>
    <t>LINDPRO A/S - Brug 9002181</t>
  </si>
  <si>
    <t>9001028</t>
  </si>
  <si>
    <t>Randers Hospital</t>
  </si>
  <si>
    <t>9001073</t>
  </si>
  <si>
    <t>9009294</t>
  </si>
  <si>
    <t>9009910</t>
  </si>
  <si>
    <t>9010204</t>
  </si>
  <si>
    <t>9026522</t>
  </si>
  <si>
    <t>9027404</t>
  </si>
  <si>
    <t>9028343</t>
  </si>
  <si>
    <t>Respiratorhjælperordningen RH</t>
  </si>
  <si>
    <t>Ekstern finansieret forskning</t>
  </si>
  <si>
    <t>9000248</t>
  </si>
  <si>
    <t>POST DANMARK A/S</t>
  </si>
  <si>
    <t>tolkning</t>
  </si>
  <si>
    <t>tolknnig</t>
  </si>
  <si>
    <t>090320 Tolk</t>
  </si>
  <si>
    <t>9006876</t>
  </si>
  <si>
    <t>DANSK FLYGTNINGEHJÆLP</t>
  </si>
  <si>
    <t>Fremmødetolkning</t>
  </si>
  <si>
    <t>9016568</t>
  </si>
  <si>
    <t>Tolkegruppen Oversættergruppen P/S</t>
  </si>
  <si>
    <t>Tolkning (Fremmødetolkning)</t>
  </si>
  <si>
    <t>Tigrina tolkning til patient</t>
  </si>
  <si>
    <t>Tolk</t>
  </si>
  <si>
    <t>Tolkebistand</t>
  </si>
  <si>
    <t>BE46243 / 271119 Edmund</t>
  </si>
  <si>
    <t>BE56465 / 190220, Precious</t>
  </si>
  <si>
    <t>BE66238 / 100620, Zeynep</t>
  </si>
  <si>
    <t>Tilskud fra staten</t>
  </si>
  <si>
    <t>405002</t>
  </si>
  <si>
    <t>Sundheds/Ældreminist - Giftlinien 1. kvt 2020</t>
  </si>
  <si>
    <t>Sundheds/Ældreminist - Giftlinien 2. kvt 2020</t>
  </si>
  <si>
    <t>Sundheds/Ældreminist - Giftlinien 3. kvt 2020</t>
  </si>
  <si>
    <t>Sundheds/Ældreminist - Giftlinien 4. kvt 2020</t>
  </si>
  <si>
    <t>405001</t>
  </si>
  <si>
    <t>Finanslovsmidler til forskning 1. kvartal -2020</t>
  </si>
  <si>
    <t>Finanslovsmidler til forskning 2 kvartal 2020</t>
  </si>
  <si>
    <t>Finanslovsmidler til forskning 2. kvartal 2020</t>
  </si>
  <si>
    <t>Finanslovsmidler til forskning 3+4 kvartal 2020</t>
  </si>
  <si>
    <t>Sundheds og Ædlreministeriet 1.kvt 2020</t>
  </si>
  <si>
    <t>Sundheds og Ædlreministeriet 2.kvt 2020</t>
  </si>
  <si>
    <t>Sundheds- og Ældreministeriet 3. kvartal</t>
  </si>
  <si>
    <t>Sundheds- og ældremini tilskud for 2020, 4. kvt.</t>
  </si>
  <si>
    <t>Tilbagebetaling ophør websyn apr19-dec20</t>
  </si>
  <si>
    <t>rettelse fra omk.sted til PSP b.200000094</t>
  </si>
  <si>
    <t>rettelse fra omk.sted til PSP b.200001157</t>
  </si>
  <si>
    <t>Institut for syg</t>
  </si>
  <si>
    <t>Arbejdsmed</t>
  </si>
  <si>
    <t>Forsk. øvr statslige</t>
  </si>
  <si>
    <t>405501</t>
  </si>
  <si>
    <t>OMP bilag 200012410 + 200006645 fra 2019</t>
  </si>
  <si>
    <t>Teknisk nulstilling af nettodrift 2020</t>
  </si>
  <si>
    <t>Overførsel af 2020 bevilling til JMC's drift</t>
  </si>
  <si>
    <t>Sundhedsstyrelsen Fakt. F-22303-10 - Bent Ottesen</t>
  </si>
  <si>
    <t>Tilskud til videnscenter for seksuelt misbrugte børn</t>
  </si>
  <si>
    <t>405284</t>
  </si>
  <si>
    <t>Forsk. DK øvr virk</t>
  </si>
  <si>
    <t>405505</t>
  </si>
  <si>
    <t>,</t>
  </si>
  <si>
    <t>Montebello ekskl. patientindtægter</t>
  </si>
  <si>
    <t>Drift vedligehold biler, transportanlæg Ydelser</t>
  </si>
  <si>
    <t>Finansiel leasing - leasingydelse, driftudgifter</t>
  </si>
  <si>
    <t>Kontorhold, annoncer, fragt, gebyr mv.</t>
  </si>
  <si>
    <t>245821</t>
  </si>
  <si>
    <t>Licens / abonnement på IT systemer</t>
  </si>
  <si>
    <t>Patienter - Forplejning fødevarekøb</t>
  </si>
  <si>
    <t>207200</t>
  </si>
  <si>
    <t>Øvrige behandlingsartikler</t>
  </si>
  <si>
    <t>Øvrige udgifter - Tjenesteydelser</t>
  </si>
  <si>
    <t>9004841</t>
  </si>
  <si>
    <t>Sand og Olsen Cykler v/Lars Olsen</t>
  </si>
  <si>
    <t>Leasing Af El Cykler Nov 2020</t>
  </si>
  <si>
    <t>Leasing Af El Cykler Okt 2020</t>
  </si>
  <si>
    <t>Operationel leasingudgifter</t>
  </si>
  <si>
    <t>Leasingaftale 21086251 010120-310120</t>
  </si>
  <si>
    <t>Leasingaftale 21086251 010220-290220</t>
  </si>
  <si>
    <t>Leasingaftale 21086251 010320-310320</t>
  </si>
  <si>
    <t>Leasingaftale 21086251 010420-300420</t>
  </si>
  <si>
    <t>Leasingaftale 21086251 010520-310520</t>
  </si>
  <si>
    <t>Leasingaftale 21086251 010720-310720</t>
  </si>
  <si>
    <t>Leasingaftale 21086251 010820-310820</t>
  </si>
  <si>
    <t>Leasingaftale 21086251 010920-300920</t>
  </si>
  <si>
    <t>Leasingaftale 21086251 011020-311020</t>
  </si>
  <si>
    <t>Leasingaftale 21086251 011120-301120</t>
  </si>
  <si>
    <t>Leasingaftale 21086251 011220-311220</t>
  </si>
  <si>
    <t>Grenkeleasing INBODYS10</t>
  </si>
  <si>
    <t>9005495</t>
  </si>
  <si>
    <t>NOVO NORDISK A/S</t>
  </si>
  <si>
    <t>9006980</t>
  </si>
  <si>
    <t>RECALL A/S</t>
  </si>
  <si>
    <t>Patienttransport - Privat leverandør momsfri</t>
  </si>
  <si>
    <t>9001238</t>
  </si>
  <si>
    <t>L-22016-00006</t>
  </si>
  <si>
    <t>Movia til ompostering</t>
  </si>
  <si>
    <t>Fribefordring, Rute 700</t>
  </si>
  <si>
    <t>230004</t>
  </si>
  <si>
    <t>Patientrelateret transport med alm. moms</t>
  </si>
  <si>
    <t>207926</t>
  </si>
  <si>
    <t>Patienttransport - Andet</t>
  </si>
  <si>
    <t>200021</t>
  </si>
  <si>
    <t>Taxa - patientbefordring</t>
  </si>
  <si>
    <t>Konvertible særydelser</t>
  </si>
  <si>
    <t>Ikke konvertible særydelser</t>
  </si>
  <si>
    <t>200018</t>
  </si>
  <si>
    <t>Tjenesterejser - Hotelophold</t>
  </si>
  <si>
    <t>200303</t>
  </si>
  <si>
    <t>Uddannelse, kurser - Udd. afgift, øvr. tj.ydelser</t>
  </si>
  <si>
    <t>Personale - Forplejning arrangement jubilæer mv.</t>
  </si>
  <si>
    <t>200713</t>
  </si>
  <si>
    <t>Personale - Øvrige varekøb</t>
  </si>
  <si>
    <t>Anskaffelser telefoniapparater</t>
  </si>
  <si>
    <t>Center for Vold, eks tolkdanmark</t>
  </si>
  <si>
    <t>PL 2020</t>
  </si>
  <si>
    <t>Forgiftningsråd</t>
  </si>
  <si>
    <t>Forsikringer og erstatning</t>
  </si>
  <si>
    <t>FIRMAKODE</t>
  </si>
  <si>
    <t>DRANST</t>
  </si>
  <si>
    <t>SAGER</t>
  </si>
  <si>
    <t>Total
BO1 - 2018</t>
  </si>
  <si>
    <t>Løn
BO1 - 2018</t>
  </si>
  <si>
    <t>Øvrig drift
BO1 - 2018</t>
  </si>
  <si>
    <t>1</t>
  </si>
  <si>
    <t>20686</t>
  </si>
  <si>
    <t>Hospicepladser</t>
  </si>
  <si>
    <t>Hospicepladser Bornholm</t>
  </si>
  <si>
    <t>Pl 2018</t>
  </si>
  <si>
    <t>Pl 2019</t>
  </si>
  <si>
    <t>pl2020</t>
  </si>
  <si>
    <t>Institutions-niveau</t>
  </si>
  <si>
    <t>NY4-niveau</t>
  </si>
  <si>
    <t>NY3-niveau</t>
  </si>
  <si>
    <t>NY2-niveau</t>
  </si>
  <si>
    <t>NY1-niveau</t>
  </si>
  <si>
    <t>Afdelings-niveau</t>
  </si>
  <si>
    <t>Omkostningssted</t>
  </si>
  <si>
    <t>Projektkode</t>
  </si>
  <si>
    <t>SOR</t>
  </si>
  <si>
    <t>Konteringsgruppe</t>
  </si>
  <si>
    <t>Kontonummer</t>
  </si>
  <si>
    <t>Ovk</t>
  </si>
  <si>
    <t>Stillingskode nuværende</t>
  </si>
  <si>
    <t>Stillingskode niveau 1</t>
  </si>
  <si>
    <t>Stillingskode niveau 2</t>
  </si>
  <si>
    <t>Stillingskode niveau 3</t>
  </si>
  <si>
    <t>- Alle lønarter - (Beløb) (L)</t>
  </si>
  <si>
    <t>Bornholms Hospital (BH)</t>
  </si>
  <si>
    <t>Drift (BH_DRI)</t>
  </si>
  <si>
    <t>Samling</t>
  </si>
  <si>
    <t>Anæstesiologisk afdeling (BH_AN)</t>
  </si>
  <si>
    <t>Anæstesiologisk afdeling (BH_AN1)</t>
  </si>
  <si>
    <t>Akutlægebil (BH_K433)</t>
  </si>
  <si>
    <t>138001300</t>
  </si>
  <si>
    <t>Ingen</t>
  </si>
  <si>
    <t>265591000016004</t>
  </si>
  <si>
    <t>0101001 (Fast løn)</t>
  </si>
  <si>
    <t>Ikke-ledende personale på SHK-områ (33217)</t>
  </si>
  <si>
    <t>Sygepl sp udd (8H_2151)</t>
  </si>
  <si>
    <t>Sygeplejersker (8H_9215)</t>
  </si>
  <si>
    <t>Sygepl. pers. (8H_9021)</t>
  </si>
  <si>
    <t>Plejepersonale (8H_9002)</t>
  </si>
  <si>
    <t>Sygeplejerske (8H_2152)</t>
  </si>
  <si>
    <t>Ferie/løn</t>
  </si>
  <si>
    <t>0113001 (Ferie/løn)</t>
  </si>
  <si>
    <t>Ikke konv. særydelser/løn</t>
  </si>
  <si>
    <t>0105003 (Ikke konvertible særydelser)</t>
  </si>
  <si>
    <t>Konvertible særydelser/løn</t>
  </si>
  <si>
    <t>0105002 (Konvertible særydelser)</t>
  </si>
  <si>
    <t>Akutlægebil Bornholm</t>
  </si>
  <si>
    <t>Driftsudgifter - Akutlægebilen</t>
  </si>
  <si>
    <t>L-13001-00038</t>
  </si>
  <si>
    <t>Anæstesiologisk afde</t>
  </si>
  <si>
    <t>1000A13800</t>
  </si>
  <si>
    <t>1000A1301</t>
  </si>
  <si>
    <t>Forbrug
JAN - DEC 2020</t>
  </si>
  <si>
    <t>Bornholm</t>
  </si>
  <si>
    <t>1000A2027800</t>
  </si>
  <si>
    <t>Øvrige tjenesteydel</t>
  </si>
  <si>
    <t>200703</t>
  </si>
  <si>
    <t>JAN - DEC 2020</t>
  </si>
  <si>
    <t>Bilagsart</t>
  </si>
  <si>
    <t>ZA</t>
  </si>
  <si>
    <t>Apotek interface</t>
  </si>
  <si>
    <t>Sanseorganer</t>
  </si>
  <si>
    <t>LUXTURNA  KONC.+SO</t>
  </si>
  <si>
    <t>Diverse</t>
  </si>
  <si>
    <t>LUXTURNA, CSP MLV</t>
  </si>
  <si>
    <t>1000A2260534</t>
  </si>
  <si>
    <t>Øjenklinik, operatio</t>
  </si>
  <si>
    <t>Udlæg eksterne</t>
  </si>
  <si>
    <t>SAMMENSLUTNINGEN TAXA 4X35</t>
  </si>
  <si>
    <t>TAXA A/S</t>
  </si>
  <si>
    <t>Adapteo, 01/2020 Leje af C40 moduler, B.2700001468</t>
  </si>
  <si>
    <t>1000A23</t>
  </si>
  <si>
    <t>Diætpræperater PKU, Hjemmebehandling ekskl kreditor TolkDanmark</t>
  </si>
  <si>
    <t>226251103</t>
  </si>
  <si>
    <t>$166.3</t>
  </si>
  <si>
    <t>Andet</t>
  </si>
  <si>
    <t>2021</t>
  </si>
  <si>
    <t>Klinik for rygmarv</t>
  </si>
  <si>
    <t>GLADSAXE KOMMUNE</t>
  </si>
  <si>
    <t>Organ</t>
  </si>
  <si>
    <t>DK AMBULANCETJENESTE ApS</t>
  </si>
  <si>
    <t>Stockholm Care AB</t>
  </si>
  <si>
    <t>ECMO</t>
  </si>
  <si>
    <t>(OPHØRT BRUG 9024859) Tobias Regist</t>
  </si>
  <si>
    <t>Hjemtransporter fra udlandet?</t>
  </si>
  <si>
    <r>
      <t>nefro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rgb="FF000000"/>
        <rFont val="Verdana"/>
        <family val="2"/>
      </rPr>
      <t xml:space="preserve"> </t>
    </r>
  </si>
  <si>
    <t>hjerteklapenheden</t>
  </si>
  <si>
    <t>NOH</t>
  </si>
  <si>
    <t>986_L-19986-11095</t>
  </si>
  <si>
    <t>986_L-19986-11096</t>
  </si>
  <si>
    <t>HGH</t>
  </si>
  <si>
    <t>Nøgle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</si>
</sst>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#,###"/>
    <numFmt numFmtId="168" formatCode="_(* #,##0.00_);_(* \(#,##0.00\);_(* &quot;-&quot;??_);_(@_)"/>
    <numFmt numFmtId="169" formatCode="_(* #,##0.00_);_(* \(#,##0.00\);_(* \-??_);_(@_)"/>
    <numFmt numFmtId="170" formatCode="_(&quot;kr&quot;\ * #,##0.00_);_(&quot;kr&quot;\ * \(#,##0.00\);_(&quot;kr&quot;\ * &quot;-&quot;??_);_(@_)"/>
    <numFmt numFmtId="171" formatCode="#,##0;\-#,##0;#,##0;@"/>
    <numFmt numFmtId="172" formatCode="_ &quot;kr&quot;\ * #,##0.00_ ;_ &quot;kr&quot;\ * \-#,##0.00_ ;_ &quot;kr&quot;\ * &quot;-&quot;??_ ;_ @_ "/>
    <numFmt numFmtId="173" formatCode="_ * #,##0.000_ ;_ * \-#,##0.000_ ;_ * &quot;-&quot;??_ ;_ @_ "/>
    <numFmt numFmtId="174" formatCode="_ * #,##0.0000_ ;_ * \-#,##0.0000_ ;_ * &quot;-&quot;??_ ;_ @_ "/>
    <numFmt numFmtId="175" formatCode="_-* #,##0_-;\-* #,##0_-;_-* &quot;-&quot;??_-;_-@_-"/>
    <numFmt numFmtId="176" formatCode="_-* #,##0.000_-;\-* #,##0.000_-;_-* &quot;-&quot;??_-;_-@_-"/>
    <numFmt numFmtId="177" formatCode="#,##0.00;\-#,##0.00;#,##0.00;@"/>
    <numFmt numFmtId="178" formatCode="#,##0.00_ ;\-#,##0.00\ "/>
    <numFmt numFmtId="179" formatCode="#,##0.000"/>
    <numFmt numFmtId="180" formatCode="#,###.00"/>
    <numFmt numFmtId="181" formatCode="#,###.000"/>
    <numFmt numFmtId="182" formatCode="##,##0"/>
    <numFmt numFmtId="183" formatCode="#,###.0"/>
  </numFmts>
  <fonts count="10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0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Verdana"/>
      <family val="2"/>
    </font>
  </fonts>
  <fills count="10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/>
      <top/>
      <bottom/>
      <diagonal/>
    </border>
    <border>
      <left style="medium">
        <color rgb="FFAEAEAE"/>
      </left>
      <right style="medium">
        <color rgb="FFAEAEAE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9775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6" applyNumberFormat="0" applyAlignment="0" applyProtection="0"/>
    <xf numFmtId="0" fontId="26" fillId="8" borderId="7" applyNumberFormat="0" applyAlignment="0" applyProtection="0"/>
    <xf numFmtId="0" fontId="27" fillId="8" borderId="6" applyNumberFormat="0" applyAlignment="0" applyProtection="0"/>
    <xf numFmtId="0" fontId="28" fillId="0" borderId="8" applyNumberFormat="0" applyFill="0" applyAlignment="0" applyProtection="0"/>
    <xf numFmtId="0" fontId="12" fillId="9" borderId="9" applyNumberFormat="0" applyAlignment="0" applyProtection="0"/>
    <xf numFmtId="0" fontId="29" fillId="0" borderId="0" applyNumberFormat="0" applyFill="0" applyBorder="0" applyAlignment="0" applyProtection="0"/>
    <xf numFmtId="0" fontId="17" fillId="10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3" fillId="34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17" fillId="12" borderId="0" applyNumberFormat="0" applyBorder="0" applyAlignment="0" applyProtection="0"/>
    <xf numFmtId="0" fontId="4" fillId="36" borderId="0" applyNumberFormat="0" applyBorder="0" applyAlignment="0" applyProtection="0"/>
    <xf numFmtId="0" fontId="17" fillId="16" borderId="0" applyNumberFormat="0" applyBorder="0" applyAlignment="0" applyProtection="0"/>
    <xf numFmtId="0" fontId="4" fillId="37" borderId="0" applyNumberFormat="0" applyBorder="0" applyAlignment="0" applyProtection="0"/>
    <xf numFmtId="0" fontId="17" fillId="20" borderId="0" applyNumberFormat="0" applyBorder="0" applyAlignment="0" applyProtection="0"/>
    <xf numFmtId="0" fontId="4" fillId="38" borderId="0" applyNumberFormat="0" applyBorder="0" applyAlignment="0" applyProtection="0"/>
    <xf numFmtId="0" fontId="17" fillId="24" borderId="0" applyNumberFormat="0" applyBorder="0" applyAlignment="0" applyProtection="0"/>
    <xf numFmtId="0" fontId="4" fillId="39" borderId="0" applyNumberFormat="0" applyBorder="0" applyAlignment="0" applyProtection="0"/>
    <xf numFmtId="0" fontId="17" fillId="28" borderId="0" applyNumberFormat="0" applyBorder="0" applyAlignment="0" applyProtection="0"/>
    <xf numFmtId="0" fontId="4" fillId="40" borderId="0" applyNumberFormat="0" applyBorder="0" applyAlignment="0" applyProtection="0"/>
    <xf numFmtId="0" fontId="17" fillId="32" borderId="0" applyNumberFormat="0" applyBorder="0" applyAlignment="0" applyProtection="0"/>
    <xf numFmtId="0" fontId="4" fillId="41" borderId="0" applyNumberFormat="0" applyBorder="0" applyAlignment="0" applyProtection="0"/>
    <xf numFmtId="0" fontId="17" fillId="13" borderId="0" applyNumberFormat="0" applyBorder="0" applyAlignment="0" applyProtection="0"/>
    <xf numFmtId="0" fontId="4" fillId="42" borderId="0" applyNumberFormat="0" applyBorder="0" applyAlignment="0" applyProtection="0"/>
    <xf numFmtId="0" fontId="17" fillId="17" borderId="0" applyNumberFormat="0" applyBorder="0" applyAlignment="0" applyProtection="0"/>
    <xf numFmtId="0" fontId="4" fillId="43" borderId="0" applyNumberFormat="0" applyBorder="0" applyAlignment="0" applyProtection="0"/>
    <xf numFmtId="0" fontId="17" fillId="21" borderId="0" applyNumberFormat="0" applyBorder="0" applyAlignment="0" applyProtection="0"/>
    <xf numFmtId="0" fontId="4" fillId="38" borderId="0" applyNumberFormat="0" applyBorder="0" applyAlignment="0" applyProtection="0"/>
    <xf numFmtId="0" fontId="17" fillId="25" borderId="0" applyNumberFormat="0" applyBorder="0" applyAlignment="0" applyProtection="0"/>
    <xf numFmtId="0" fontId="4" fillId="41" borderId="0" applyNumberFormat="0" applyBorder="0" applyAlignment="0" applyProtection="0"/>
    <xf numFmtId="0" fontId="17" fillId="29" borderId="0" applyNumberFormat="0" applyBorder="0" applyAlignment="0" applyProtection="0"/>
    <xf numFmtId="0" fontId="4" fillId="44" borderId="0" applyNumberFormat="0" applyBorder="0" applyAlignment="0" applyProtection="0"/>
    <xf numFmtId="0" fontId="17" fillId="33" borderId="0" applyNumberFormat="0" applyBorder="0" applyAlignment="0" applyProtection="0"/>
    <xf numFmtId="0" fontId="5" fillId="45" borderId="0" applyNumberFormat="0" applyBorder="0" applyAlignment="0" applyProtection="0"/>
    <xf numFmtId="0" fontId="13" fillId="14" borderId="0" applyNumberFormat="0" applyBorder="0" applyAlignment="0" applyProtection="0"/>
    <xf numFmtId="0" fontId="5" fillId="42" borderId="0" applyNumberFormat="0" applyBorder="0" applyAlignment="0" applyProtection="0"/>
    <xf numFmtId="0" fontId="13" fillId="18" borderId="0" applyNumberFormat="0" applyBorder="0" applyAlignment="0" applyProtection="0"/>
    <xf numFmtId="0" fontId="5" fillId="43" borderId="0" applyNumberFormat="0" applyBorder="0" applyAlignment="0" applyProtection="0"/>
    <xf numFmtId="0" fontId="13" fillId="22" borderId="0" applyNumberFormat="0" applyBorder="0" applyAlignment="0" applyProtection="0"/>
    <xf numFmtId="0" fontId="5" fillId="46" borderId="0" applyNumberFormat="0" applyBorder="0" applyAlignment="0" applyProtection="0"/>
    <xf numFmtId="0" fontId="13" fillId="26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5" fillId="48" borderId="0" applyNumberFormat="0" applyBorder="0" applyAlignment="0" applyProtection="0"/>
    <xf numFmtId="0" fontId="13" fillId="34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27" fillId="8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22" fillId="4" borderId="0" applyNumberFormat="0" applyBorder="0" applyAlignment="0" applyProtection="0"/>
    <xf numFmtId="0" fontId="40" fillId="40" borderId="13" applyNumberFormat="0" applyAlignment="0" applyProtection="0"/>
    <xf numFmtId="0" fontId="25" fillId="7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1" borderId="14" applyNumberFormat="0" applyAlignment="0" applyProtection="0"/>
    <xf numFmtId="0" fontId="12" fillId="9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2" borderId="0" applyNumberFormat="0" applyBorder="0" applyAlignment="0" applyProtection="0"/>
    <xf numFmtId="0" fontId="13" fillId="11" borderId="0" applyNumberFormat="0" applyBorder="0" applyAlignment="0" applyProtection="0"/>
    <xf numFmtId="0" fontId="5" fillId="53" borderId="0" applyNumberFormat="0" applyBorder="0" applyAlignment="0" applyProtection="0"/>
    <xf numFmtId="0" fontId="13" fillId="15" borderId="0" applyNumberFormat="0" applyBorder="0" applyAlignment="0" applyProtection="0"/>
    <xf numFmtId="0" fontId="5" fillId="54" borderId="0" applyNumberFormat="0" applyBorder="0" applyAlignment="0" applyProtection="0"/>
    <xf numFmtId="0" fontId="13" fillId="19" borderId="0" applyNumberFormat="0" applyBorder="0" applyAlignment="0" applyProtection="0"/>
    <xf numFmtId="0" fontId="5" fillId="46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55" borderId="0" applyNumberFormat="0" applyBorder="0" applyAlignment="0" applyProtection="0"/>
    <xf numFmtId="0" fontId="13" fillId="31" borderId="0" applyNumberFormat="0" applyBorder="0" applyAlignment="0" applyProtection="0"/>
    <xf numFmtId="0" fontId="41" fillId="56" borderId="0" applyNumberFormat="0" applyBorder="0" applyAlignment="0" applyProtection="0"/>
    <xf numFmtId="0" fontId="24" fillId="6" borderId="0" applyNumberFormat="0" applyBorder="0" applyAlignment="0" applyProtection="0"/>
    <xf numFmtId="0" fontId="17" fillId="0" borderId="0"/>
    <xf numFmtId="0" fontId="42" fillId="50" borderId="15" applyNumberFormat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6" borderId="0" applyNumberFormat="0" applyBorder="0" applyAlignment="0" applyProtection="0"/>
    <xf numFmtId="0" fontId="23" fillId="5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4" fillId="49" borderId="12" applyNumberFormat="0" applyFont="0" applyAlignment="0" applyProtection="0"/>
    <xf numFmtId="0" fontId="40" fillId="40" borderId="13" applyNumberFormat="0" applyAlignment="0" applyProtection="0"/>
    <xf numFmtId="0" fontId="37" fillId="50" borderId="13" applyNumberFormat="0" applyAlignment="0" applyProtection="0"/>
    <xf numFmtId="0" fontId="42" fillId="50" borderId="15" applyNumberFormat="0" applyAlignment="0" applyProtection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4" fillId="49" borderId="12" applyNumberFormat="0" applyFont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32" fillId="0" borderId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168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5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0" borderId="10" applyNumberFormat="0" applyFont="0" applyAlignment="0" applyProtection="0"/>
    <xf numFmtId="0" fontId="53" fillId="8" borderId="6" applyNumberFormat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7" borderId="6" applyNumberFormat="0" applyAlignment="0" applyProtection="0"/>
    <xf numFmtId="168" fontId="50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ill="0" applyBorder="0" applyAlignment="0" applyProtection="0"/>
    <xf numFmtId="0" fontId="57" fillId="9" borderId="9" applyNumberFormat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8" fillId="6" borderId="0" applyNumberFormat="0" applyBorder="0" applyAlignment="0" applyProtection="0"/>
    <xf numFmtId="0" fontId="32" fillId="0" borderId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0" borderId="13" applyNumberFormat="0" applyAlignment="0" applyProtection="0"/>
    <xf numFmtId="0" fontId="59" fillId="8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5" borderId="0" applyNumberFormat="0" applyBorder="0" applyAlignment="0" applyProtection="0"/>
    <xf numFmtId="170" fontId="32" fillId="0" borderId="0" applyFont="0" applyFill="0" applyBorder="0" applyAlignment="0" applyProtection="0"/>
    <xf numFmtId="0" fontId="5" fillId="52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5" fillId="54" borderId="0" applyNumberFormat="0" applyBorder="0" applyAlignment="0" applyProtection="0"/>
    <xf numFmtId="0" fontId="48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" fillId="51" borderId="14" applyNumberFormat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5" fillId="42" borderId="0" applyNumberFormat="0" applyBorder="0" applyAlignment="0" applyProtection="0"/>
    <xf numFmtId="0" fontId="4" fillId="41" borderId="0" applyNumberFormat="0" applyBorder="0" applyAlignment="0" applyProtection="0"/>
    <xf numFmtId="0" fontId="4" fillId="38" borderId="0" applyNumberFormat="0" applyBorder="0" applyAlignment="0" applyProtection="0"/>
    <xf numFmtId="0" fontId="5" fillId="53" borderId="0" applyNumberFormat="0" applyBorder="0" applyAlignment="0" applyProtection="0"/>
    <xf numFmtId="0" fontId="39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6" fillId="0" borderId="19" applyNumberFormat="0" applyFill="0" applyAlignment="0" applyProtection="0"/>
    <xf numFmtId="0" fontId="41" fillId="56" borderId="0" applyNumberFormat="0" applyBorder="0" applyAlignment="0" applyProtection="0"/>
    <xf numFmtId="0" fontId="32" fillId="49" borderId="12" applyNumberFormat="0" applyFont="0" applyAlignment="0" applyProtection="0"/>
    <xf numFmtId="0" fontId="42" fillId="50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1" fillId="56" borderId="0" applyNumberFormat="0" applyBorder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4" fillId="10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49" borderId="12" applyNumberFormat="0" applyFont="0" applyAlignment="0" applyProtection="0"/>
    <xf numFmtId="0" fontId="4" fillId="49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8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4" fillId="36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164" fontId="31" fillId="0" borderId="0" applyFont="0" applyFill="0" applyBorder="0" applyAlignment="0" applyProtection="0"/>
    <xf numFmtId="0" fontId="5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3" fillId="2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3" applyNumberFormat="0" applyFill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4" fillId="3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168" fontId="3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4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37" fillId="50" borderId="13" applyNumberFormat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3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2" fillId="9" borderId="9" applyNumberFormat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" fillId="5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3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4" applyNumberFormat="0" applyFill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69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32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2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4" fillId="35" borderId="0" applyNumberFormat="0" applyBorder="0" applyAlignment="0" applyProtection="0"/>
    <xf numFmtId="0" fontId="46" fillId="0" borderId="19" applyNumberFormat="0" applyFill="0" applyAlignment="0" applyProtection="0"/>
    <xf numFmtId="0" fontId="13" fillId="27" borderId="0" applyNumberFormat="0" applyBorder="0" applyAlignment="0" applyProtection="0"/>
    <xf numFmtId="0" fontId="41" fillId="56" borderId="0" applyNumberFormat="0" applyBorder="0" applyAlignment="0" applyProtection="0"/>
    <xf numFmtId="0" fontId="32" fillId="0" borderId="0"/>
    <xf numFmtId="0" fontId="5" fillId="4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4" borderId="0" applyNumberFormat="0" applyBorder="0" applyAlignment="0" applyProtection="0"/>
    <xf numFmtId="0" fontId="5" fillId="45" borderId="0" applyNumberFormat="0" applyBorder="0" applyAlignment="0" applyProtection="0"/>
    <xf numFmtId="0" fontId="5" fillId="54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6" borderId="0" applyNumberFormat="0" applyBorder="0" applyAlignment="0" applyProtection="0"/>
    <xf numFmtId="0" fontId="13" fillId="15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2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4" borderId="0" applyNumberFormat="0" applyBorder="0" applyAlignment="0" applyProtection="0"/>
    <xf numFmtId="0" fontId="13" fillId="31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7" borderId="0" applyNumberFormat="0" applyBorder="0" applyAlignment="0" applyProtection="0"/>
    <xf numFmtId="165" fontId="31" fillId="0" borderId="0" applyFont="0" applyFill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0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5" fillId="52" borderId="0" applyNumberFormat="0" applyBorder="0" applyAlignment="0" applyProtection="0"/>
    <xf numFmtId="0" fontId="4" fillId="38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3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1" borderId="14" applyNumberForma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7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2" borderId="0" applyNumberFormat="0" applyBorder="0" applyAlignment="0" applyProtection="0"/>
    <xf numFmtId="0" fontId="4" fillId="49" borderId="12" applyNumberFormat="0" applyFont="0" applyAlignment="0" applyProtection="0"/>
    <xf numFmtId="0" fontId="25" fillId="7" borderId="6" applyNumberFormat="0" applyAlignment="0" applyProtection="0"/>
    <xf numFmtId="0" fontId="23" fillId="5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6" borderId="0" applyNumberFormat="0" applyBorder="0" applyAlignment="0" applyProtection="0"/>
    <xf numFmtId="0" fontId="13" fillId="18" borderId="0" applyNumberFormat="0" applyBorder="0" applyAlignment="0" applyProtection="0"/>
    <xf numFmtId="9" fontId="32" fillId="0" borderId="0" applyFont="0" applyFill="0" applyBorder="0" applyAlignment="0" applyProtection="0"/>
    <xf numFmtId="0" fontId="13" fillId="19" borderId="0" applyNumberFormat="0" applyBorder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4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" fontId="76" fillId="47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5" fillId="69" borderId="0" applyNumberFormat="0" applyBorder="0" applyAlignment="0" applyProtection="0"/>
    <xf numFmtId="0" fontId="5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78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5" fillId="72" borderId="0" applyNumberFormat="0" applyBorder="0" applyAlignment="0" applyProtection="0"/>
    <xf numFmtId="0" fontId="5" fillId="69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5" fillId="69" borderId="0" applyNumberFormat="0" applyBorder="0" applyAlignment="0" applyProtection="0"/>
    <xf numFmtId="0" fontId="5" fillId="82" borderId="0" applyNumberFormat="0" applyBorder="0" applyAlignment="0" applyProtection="0"/>
    <xf numFmtId="0" fontId="4" fillId="83" borderId="0" applyNumberFormat="0" applyBorder="0" applyAlignment="0" applyProtection="0"/>
    <xf numFmtId="0" fontId="4" fillId="84" borderId="0" applyNumberFormat="0" applyBorder="0" applyAlignment="0" applyProtection="0"/>
    <xf numFmtId="0" fontId="5" fillId="85" borderId="0" applyNumberFormat="0" applyBorder="0" applyAlignment="0" applyProtection="0"/>
    <xf numFmtId="0" fontId="82" fillId="83" borderId="0" applyNumberFormat="0" applyBorder="0" applyAlignment="0" applyProtection="0"/>
    <xf numFmtId="0" fontId="83" fillId="86" borderId="33" applyNumberFormat="0" applyAlignment="0" applyProtection="0"/>
    <xf numFmtId="0" fontId="6" fillId="78" borderId="14" applyNumberFormat="0" applyAlignment="0" applyProtection="0"/>
    <xf numFmtId="0" fontId="1" fillId="87" borderId="0" applyNumberFormat="0" applyBorder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4" fillId="76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4" borderId="33" applyNumberFormat="0" applyAlignment="0" applyProtection="0"/>
    <xf numFmtId="0" fontId="39" fillId="0" borderId="37" applyNumberFormat="0" applyFill="0" applyAlignment="0" applyProtection="0"/>
    <xf numFmtId="0" fontId="39" fillId="84" borderId="0" applyNumberFormat="0" applyBorder="0" applyAlignment="0" applyProtection="0"/>
    <xf numFmtId="0" fontId="76" fillId="83" borderId="33" applyNumberFormat="0" applyFont="0" applyAlignment="0" applyProtection="0"/>
    <xf numFmtId="0" fontId="42" fillId="86" borderId="38" applyNumberFormat="0" applyAlignment="0" applyProtection="0"/>
    <xf numFmtId="4" fontId="76" fillId="56" borderId="33" applyNumberFormat="0" applyProtection="0">
      <alignment vertical="center"/>
    </xf>
    <xf numFmtId="4" fontId="90" fillId="65" borderId="33" applyNumberFormat="0" applyProtection="0">
      <alignment vertical="center"/>
    </xf>
    <xf numFmtId="4" fontId="76" fillId="65" borderId="33" applyNumberFormat="0" applyProtection="0">
      <alignment horizontal="left" vertical="center" indent="1"/>
    </xf>
    <xf numFmtId="0" fontId="79" fillId="56" borderId="39" applyNumberFormat="0" applyProtection="0">
      <alignment horizontal="left" vertical="top" indent="1"/>
    </xf>
    <xf numFmtId="4" fontId="76" fillId="47" borderId="33" applyNumberFormat="0" applyProtection="0">
      <alignment horizontal="left" vertical="center" indent="1"/>
    </xf>
    <xf numFmtId="4" fontId="76" fillId="36" borderId="33" applyNumberFormat="0" applyProtection="0">
      <alignment horizontal="right" vertical="center"/>
    </xf>
    <xf numFmtId="4" fontId="76" fillId="90" borderId="33" applyNumberFormat="0" applyProtection="0">
      <alignment horizontal="right" vertical="center"/>
    </xf>
    <xf numFmtId="4" fontId="76" fillId="53" borderId="32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54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43" borderId="33" applyNumberFormat="0" applyProtection="0">
      <alignment horizontal="right" vertical="center"/>
    </xf>
    <xf numFmtId="4" fontId="76" fillId="92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76" fillId="94" borderId="33" applyNumberFormat="0" applyProtection="0">
      <alignment horizontal="right" vertical="center"/>
    </xf>
    <xf numFmtId="4" fontId="76" fillId="95" borderId="32" applyNumberFormat="0" applyProtection="0">
      <alignment horizontal="left" vertical="center" indent="1"/>
    </xf>
    <xf numFmtId="4" fontId="76" fillId="94" borderId="32" applyNumberFormat="0" applyProtection="0">
      <alignment horizontal="left" vertical="center" indent="1"/>
    </xf>
    <xf numFmtId="0" fontId="76" fillId="50" borderId="33" applyNumberFormat="0" applyProtection="0">
      <alignment horizontal="left" vertical="center" indent="1"/>
    </xf>
    <xf numFmtId="0" fontId="76" fillId="93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41" borderId="33" applyNumberFormat="0" applyProtection="0">
      <alignment horizontal="left" vertical="center" indent="1"/>
    </xf>
    <xf numFmtId="0" fontId="76" fillId="41" borderId="39" applyNumberFormat="0" applyProtection="0">
      <alignment horizontal="left" vertical="top" indent="1"/>
    </xf>
    <xf numFmtId="0" fontId="76" fillId="95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97" borderId="40" applyNumberFormat="0">
      <protection locked="0"/>
    </xf>
    <xf numFmtId="0" fontId="77" fillId="93" borderId="41" applyBorder="0"/>
    <xf numFmtId="4" fontId="78" fillId="49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0" borderId="39" applyNumberFormat="0" applyProtection="0">
      <alignment horizontal="left" vertical="center" indent="1"/>
    </xf>
    <xf numFmtId="0" fontId="78" fillId="49" borderId="39" applyNumberFormat="0" applyProtection="0">
      <alignment horizontal="left" vertical="top" indent="1"/>
    </xf>
    <xf numFmtId="4" fontId="90" fillId="98" borderId="33" applyNumberFormat="0" applyProtection="0">
      <alignment horizontal="right" vertical="center"/>
    </xf>
    <xf numFmtId="0" fontId="78" fillId="94" borderId="39" applyNumberFormat="0" applyProtection="0">
      <alignment horizontal="left" vertical="top" indent="1"/>
    </xf>
    <xf numFmtId="4" fontId="80" fillId="99" borderId="32" applyNumberFormat="0" applyProtection="0">
      <alignment horizontal="left" vertical="center" indent="1"/>
    </xf>
    <xf numFmtId="0" fontId="76" fillId="100" borderId="31"/>
    <xf numFmtId="4" fontId="81" fillId="97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0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0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8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Alignment="0" applyProtection="0"/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27" fillId="8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49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49" borderId="12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9" fontId="4" fillId="0" borderId="0" applyFont="0" applyFill="0" applyBorder="0" applyAlignment="0" applyProtection="0"/>
    <xf numFmtId="0" fontId="17" fillId="10" borderId="10" applyNumberFormat="0" applyFont="0" applyAlignment="0" applyProtection="0"/>
    <xf numFmtId="0" fontId="76" fillId="83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0" borderId="38" applyNumberFormat="0" applyAlignment="0" applyProtection="0"/>
    <xf numFmtId="0" fontId="99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</cellStyleXfs>
  <cellXfs count="385">
    <xf numFmtId="0" fontId="0" fillId="0" borderId="0" xfId="0"/>
    <xf numFmtId="166" fontId="0" fillId="0" borderId="0" xfId="0" applyNumberFormat="1"/>
    <xf numFmtId="171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0" fillId="0" borderId="0" xfId="0" applyFill="1" applyProtection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1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5" fillId="0" borderId="0" xfId="1" applyNumberFormat="1" applyFont="1" applyFill="1"/>
    <xf numFmtId="0" fontId="15" fillId="0" borderId="0" xfId="0" applyFont="1" applyFill="1"/>
    <xf numFmtId="167" fontId="1" fillId="2" borderId="0" xfId="0" applyNumberFormat="1" applyFont="1" applyFill="1" applyProtection="1"/>
    <xf numFmtId="167" fontId="1" fillId="0" borderId="0" xfId="0" applyNumberFormat="1" applyFont="1" applyFill="1" applyProtection="1"/>
    <xf numFmtId="167" fontId="4" fillId="3" borderId="0" xfId="0" applyNumberFormat="1" applyFont="1" applyFill="1" applyProtection="1">
      <protection locked="0"/>
    </xf>
    <xf numFmtId="167" fontId="4" fillId="0" borderId="0" xfId="0" applyNumberFormat="1" applyFont="1" applyFill="1" applyProtection="1">
      <protection locked="0"/>
    </xf>
    <xf numFmtId="167" fontId="4" fillId="3" borderId="0" xfId="0" applyNumberFormat="1" applyFont="1" applyFill="1" applyProtection="1"/>
    <xf numFmtId="167" fontId="4" fillId="0" borderId="0" xfId="0" applyNumberFormat="1" applyFont="1" applyFill="1" applyProtection="1"/>
    <xf numFmtId="167" fontId="1" fillId="2" borderId="0" xfId="0" applyNumberFormat="1" applyFont="1" applyFill="1" applyAlignment="1" applyProtection="1"/>
    <xf numFmtId="167" fontId="4" fillId="2" borderId="0" xfId="0" applyNumberFormat="1" applyFont="1" applyFill="1" applyProtection="1"/>
    <xf numFmtId="167" fontId="4" fillId="2" borderId="0" xfId="0" applyNumberFormat="1" applyFont="1" applyFill="1" applyProtection="1">
      <protection locked="0"/>
    </xf>
    <xf numFmtId="167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0" fillId="0" borderId="0" xfId="0" applyProtection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7" fontId="0" fillId="2" borderId="0" xfId="0" applyNumberFormat="1" applyFont="1" applyFill="1" applyAlignment="1" applyProtection="1">
      <alignment horizontal="right"/>
    </xf>
    <xf numFmtId="167" fontId="0" fillId="0" borderId="0" xfId="1" applyNumberFormat="1" applyFont="1" applyFill="1" applyProtection="1"/>
    <xf numFmtId="167" fontId="0" fillId="0" borderId="0" xfId="0" applyNumberFormat="1" applyFont="1" applyFill="1" applyAlignment="1" applyProtection="1">
      <alignment horizontal="right"/>
    </xf>
    <xf numFmtId="167" fontId="1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/>
    <xf numFmtId="167" fontId="14" fillId="0" borderId="0" xfId="0" applyNumberFormat="1" applyFont="1" applyFill="1" applyBorder="1" applyProtection="1"/>
    <xf numFmtId="167" fontId="14" fillId="2" borderId="0" xfId="0" applyNumberFormat="1" applyFont="1" applyFill="1" applyBorder="1" applyProtection="1"/>
    <xf numFmtId="167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7" fontId="0" fillId="2" borderId="0" xfId="1" applyNumberFormat="1" applyFont="1" applyFill="1" applyProtection="1"/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7" fontId="0" fillId="0" borderId="0" xfId="1" applyNumberFormat="1" applyFont="1" applyFill="1" applyBorder="1" applyProtection="1"/>
    <xf numFmtId="166" fontId="0" fillId="2" borderId="0" xfId="1" applyNumberFormat="1" applyFont="1" applyFill="1" applyAlignment="1" applyProtection="1">
      <alignment horizontal="right"/>
    </xf>
    <xf numFmtId="167" fontId="0" fillId="2" borderId="0" xfId="1" applyNumberFormat="1" applyFont="1" applyFill="1" applyBorder="1" applyProtection="1"/>
    <xf numFmtId="166" fontId="0" fillId="2" borderId="0" xfId="1" applyNumberFormat="1" applyFont="1" applyFill="1" applyBorder="1" applyProtection="1">
      <protection locked="0"/>
    </xf>
    <xf numFmtId="167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0" fontId="16" fillId="0" borderId="0" xfId="0" applyFont="1" applyAlignment="1">
      <alignment horizontal="center"/>
    </xf>
    <xf numFmtId="0" fontId="0" fillId="0" borderId="0" xfId="0"/>
    <xf numFmtId="167" fontId="0" fillId="0" borderId="0" xfId="0" applyNumberFormat="1" applyFont="1" applyFill="1" applyBorder="1" applyProtection="1"/>
    <xf numFmtId="167" fontId="0" fillId="2" borderId="0" xfId="0" applyNumberFormat="1" applyFont="1" applyFill="1" applyBorder="1" applyProtection="1"/>
    <xf numFmtId="167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1" borderId="21" xfId="0" applyNumberFormat="1" applyFont="1" applyFill="1" applyBorder="1" applyAlignment="1">
      <alignment horizontal="left" vertical="center" wrapText="1"/>
    </xf>
    <xf numFmtId="49" fontId="73" fillId="61" borderId="21" xfId="0" applyNumberFormat="1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0" fontId="73" fillId="59" borderId="21" xfId="0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/>
    </xf>
    <xf numFmtId="171" fontId="73" fillId="63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1" borderId="0" xfId="0" applyFill="1"/>
    <xf numFmtId="0" fontId="0" fillId="0" borderId="0" xfId="0"/>
    <xf numFmtId="173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7" fontId="0" fillId="2" borderId="0" xfId="0" applyNumberFormat="1" applyFont="1" applyFill="1" applyProtection="1"/>
    <xf numFmtId="167" fontId="0" fillId="0" borderId="0" xfId="0" applyNumberFormat="1" applyFont="1" applyFill="1" applyProtection="1"/>
    <xf numFmtId="0" fontId="0" fillId="2" borderId="0" xfId="0" applyFont="1" applyFill="1" applyProtection="1"/>
    <xf numFmtId="167" fontId="0" fillId="2" borderId="0" xfId="0" applyNumberFormat="1" applyFont="1" applyFill="1" applyProtection="1">
      <protection locked="0"/>
    </xf>
    <xf numFmtId="167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7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7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7" fontId="11" fillId="2" borderId="0" xfId="0" applyNumberFormat="1" applyFont="1" applyFill="1" applyBorder="1" applyProtection="1"/>
    <xf numFmtId="0" fontId="16" fillId="0" borderId="0" xfId="0" applyFont="1" applyAlignment="1">
      <alignment horizontal="center"/>
    </xf>
    <xf numFmtId="0" fontId="0" fillId="0" borderId="0" xfId="0"/>
    <xf numFmtId="167" fontId="0" fillId="0" borderId="0" xfId="0" applyNumberFormat="1" applyProtection="1"/>
    <xf numFmtId="167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0" fontId="11" fillId="2" borderId="0" xfId="0" applyFont="1" applyFill="1" applyProtection="1"/>
    <xf numFmtId="167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0" fontId="4" fillId="0" borderId="0" xfId="0" applyFont="1" applyFill="1" applyAlignment="1" applyProtection="1">
      <alignment wrapText="1"/>
    </xf>
    <xf numFmtId="167" fontId="4" fillId="0" borderId="0" xfId="0" applyNumberFormat="1" applyFont="1" applyFill="1" applyAlignment="1" applyProtection="1">
      <alignment wrapText="1"/>
      <protection locked="0"/>
    </xf>
    <xf numFmtId="167" fontId="4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horizontal="center" wrapText="1"/>
    </xf>
    <xf numFmtId="167" fontId="9" fillId="0" borderId="0" xfId="0" applyNumberFormat="1" applyFont="1" applyFill="1" applyAlignment="1" applyProtection="1">
      <alignment horizontal="center" wrapText="1"/>
    </xf>
    <xf numFmtId="167" fontId="16" fillId="0" borderId="0" xfId="0" applyNumberFormat="1" applyFont="1" applyFill="1" applyAlignment="1" applyProtection="1">
      <alignment horizontal="center" wrapText="1"/>
    </xf>
    <xf numFmtId="0" fontId="0" fillId="0" borderId="0" xfId="0"/>
    <xf numFmtId="0" fontId="73" fillId="61" borderId="21" xfId="0" applyFont="1" applyFill="1" applyBorder="1" applyAlignment="1">
      <alignment horizontal="right" vertical="center" wrapText="1"/>
    </xf>
    <xf numFmtId="49" fontId="93" fillId="6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0" fontId="11" fillId="0" borderId="0" xfId="0" applyFont="1" applyFill="1" applyProtection="1"/>
    <xf numFmtId="167" fontId="11" fillId="0" borderId="0" xfId="0" applyNumberFormat="1" applyFont="1" applyFill="1" applyProtection="1"/>
    <xf numFmtId="167" fontId="11" fillId="0" borderId="0" xfId="1" applyNumberFormat="1" applyFont="1" applyFill="1" applyProtection="1"/>
    <xf numFmtId="166" fontId="11" fillId="0" borderId="0" xfId="1" applyNumberFormat="1" applyFont="1" applyFill="1" applyAlignment="1" applyProtection="1">
      <alignment horizontal="right"/>
    </xf>
    <xf numFmtId="166" fontId="11" fillId="0" borderId="0" xfId="1" applyNumberFormat="1" applyFont="1" applyFill="1" applyProtection="1">
      <protection locked="0"/>
    </xf>
    <xf numFmtId="0" fontId="11" fillId="0" borderId="0" xfId="0" applyFont="1" applyFill="1" applyBorder="1" applyProtection="1"/>
    <xf numFmtId="167" fontId="11" fillId="0" borderId="0" xfId="0" applyNumberFormat="1" applyFont="1" applyFill="1" applyBorder="1" applyProtection="1"/>
    <xf numFmtId="166" fontId="11" fillId="0" borderId="0" xfId="1" applyNumberFormat="1" applyFont="1" applyFill="1" applyBorder="1" applyProtection="1">
      <protection locked="0"/>
    </xf>
    <xf numFmtId="167" fontId="9" fillId="2" borderId="0" xfId="0" applyNumberFormat="1" applyFont="1" applyFill="1" applyAlignment="1" applyProtection="1">
      <alignment wrapText="1"/>
    </xf>
    <xf numFmtId="167" fontId="9" fillId="0" borderId="0" xfId="0" applyNumberFormat="1" applyFont="1" applyFill="1" applyAlignment="1" applyProtection="1">
      <alignment wrapText="1"/>
    </xf>
    <xf numFmtId="167" fontId="16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wrapText="1"/>
      <protection locked="0"/>
    </xf>
    <xf numFmtId="167" fontId="9" fillId="0" borderId="0" xfId="0" applyNumberFormat="1" applyFont="1" applyFill="1" applyAlignment="1" applyProtection="1">
      <alignment wrapText="1"/>
      <protection locked="0"/>
    </xf>
    <xf numFmtId="0" fontId="0" fillId="0" borderId="0" xfId="0"/>
    <xf numFmtId="0" fontId="0" fillId="0" borderId="0" xfId="0"/>
    <xf numFmtId="49" fontId="0" fillId="58" borderId="21" xfId="0" applyNumberForma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2"/>
    </xf>
    <xf numFmtId="49" fontId="73" fillId="58" borderId="45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4"/>
    </xf>
    <xf numFmtId="49" fontId="73" fillId="102" borderId="21" xfId="0" applyNumberFormat="1" applyFont="1" applyFill="1" applyBorder="1" applyAlignment="1">
      <alignment horizontal="left" vertical="center" wrapText="1" indent="3"/>
    </xf>
    <xf numFmtId="0" fontId="0" fillId="0" borderId="0" xfId="0"/>
    <xf numFmtId="167" fontId="94" fillId="103" borderId="0" xfId="45" applyNumberFormat="1" applyFont="1" applyFill="1"/>
    <xf numFmtId="166" fontId="0" fillId="0" borderId="46" xfId="1" applyNumberFormat="1" applyFont="1" applyBorder="1"/>
    <xf numFmtId="166" fontId="0" fillId="101" borderId="0" xfId="0" applyNumberFormat="1" applyFill="1"/>
    <xf numFmtId="171" fontId="0" fillId="101" borderId="0" xfId="0" applyNumberFormat="1" applyFill="1"/>
    <xf numFmtId="0" fontId="0" fillId="0" borderId="0" xfId="0"/>
    <xf numFmtId="0" fontId="97" fillId="0" borderId="0" xfId="0" applyFont="1" applyAlignment="1">
      <alignment horizontal="right" vertical="center"/>
    </xf>
    <xf numFmtId="0" fontId="0" fillId="0" borderId="0" xfId="0"/>
    <xf numFmtId="165" fontId="0" fillId="0" borderId="0" xfId="1" applyFont="1"/>
    <xf numFmtId="49" fontId="73" fillId="62" borderId="48" xfId="0" applyNumberFormat="1" applyFont="1" applyFill="1" applyBorder="1" applyAlignment="1">
      <alignment horizontal="left" vertical="center" wrapText="1"/>
    </xf>
    <xf numFmtId="171" fontId="73" fillId="60" borderId="48" xfId="0" applyNumberFormat="1" applyFont="1" applyFill="1" applyBorder="1" applyAlignment="1">
      <alignment horizontal="right" vertical="center" wrapText="1"/>
    </xf>
    <xf numFmtId="49" fontId="73" fillId="102" borderId="49" xfId="0" applyNumberFormat="1" applyFont="1" applyFill="1" applyBorder="1" applyAlignment="1">
      <alignment horizontal="left" vertical="center" wrapText="1" indent="3"/>
    </xf>
    <xf numFmtId="49" fontId="73" fillId="102" borderId="49" xfId="0" applyNumberFormat="1" applyFont="1" applyFill="1" applyBorder="1" applyAlignment="1">
      <alignment horizontal="left" vertical="center" wrapText="1"/>
    </xf>
    <xf numFmtId="49" fontId="73" fillId="62" borderId="47" xfId="0" applyNumberFormat="1" applyFont="1" applyFill="1" applyBorder="1" applyAlignment="1">
      <alignment horizontal="left" vertical="center" wrapText="1"/>
    </xf>
    <xf numFmtId="171" fontId="73" fillId="60" borderId="47" xfId="0" applyNumberFormat="1" applyFont="1" applyFill="1" applyBorder="1" applyAlignment="1">
      <alignment horizontal="right" vertical="center" wrapText="1"/>
    </xf>
    <xf numFmtId="49" fontId="73" fillId="102" borderId="0" xfId="0" applyNumberFormat="1" applyFont="1" applyFill="1" applyBorder="1" applyAlignment="1">
      <alignment horizontal="left" vertical="center" wrapText="1"/>
    </xf>
    <xf numFmtId="0" fontId="0" fillId="0" borderId="0" xfId="0"/>
    <xf numFmtId="175" fontId="0" fillId="0" borderId="0" xfId="0" applyNumberFormat="1"/>
    <xf numFmtId="176" fontId="0" fillId="101" borderId="0" xfId="0" applyNumberFormat="1" applyFill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49" fontId="73" fillId="58" borderId="23" xfId="0" applyNumberFormat="1" applyFont="1" applyFill="1" applyBorder="1" applyAlignment="1">
      <alignment horizontal="left" vertical="center" wrapText="1"/>
    </xf>
    <xf numFmtId="0" fontId="91" fillId="2" borderId="0" xfId="0" applyFont="1" applyFill="1" applyProtection="1"/>
    <xf numFmtId="167" fontId="91" fillId="2" borderId="0" xfId="0" applyNumberFormat="1" applyFont="1" applyFill="1" applyProtection="1"/>
    <xf numFmtId="167" fontId="91" fillId="2" borderId="0" xfId="0" applyNumberFormat="1" applyFont="1" applyFill="1" applyProtection="1">
      <protection locked="0"/>
    </xf>
    <xf numFmtId="174" fontId="0" fillId="0" borderId="0" xfId="1" applyNumberFormat="1" applyFont="1" applyFill="1" applyAlignment="1" applyProtection="1">
      <alignment horizontal="right"/>
    </xf>
    <xf numFmtId="0" fontId="1" fillId="0" borderId="0" xfId="0" applyNumberFormat="1" applyFont="1" applyProtection="1"/>
    <xf numFmtId="171" fontId="73" fillId="101" borderId="21" xfId="0" applyNumberFormat="1" applyFont="1" applyFill="1" applyBorder="1" applyAlignment="1">
      <alignment horizontal="right" vertical="center" wrapText="1"/>
    </xf>
    <xf numFmtId="0" fontId="0" fillId="104" borderId="0" xfId="0" applyFill="1"/>
    <xf numFmtId="177" fontId="0" fillId="0" borderId="0" xfId="0" applyNumberFormat="1"/>
    <xf numFmtId="178" fontId="0" fillId="0" borderId="0" xfId="0" applyNumberFormat="1"/>
    <xf numFmtId="179" fontId="0" fillId="0" borderId="0" xfId="0" applyNumberFormat="1"/>
    <xf numFmtId="49" fontId="73" fillId="62" borderId="21" xfId="0" applyNumberFormat="1" applyFont="1" applyFill="1" applyBorder="1" applyAlignment="1">
      <alignment horizontal="left" vertical="top" wrapText="1"/>
    </xf>
    <xf numFmtId="49" fontId="73" fillId="57" borderId="21" xfId="0" applyNumberFormat="1" applyFont="1" applyFill="1" applyBorder="1" applyAlignment="1">
      <alignment horizontal="left" vertical="top" wrapText="1"/>
    </xf>
    <xf numFmtId="0" fontId="12" fillId="105" borderId="50" xfId="0" applyFont="1" applyFill="1" applyBorder="1"/>
    <xf numFmtId="0" fontId="12" fillId="105" borderId="51" xfId="0" applyFont="1" applyFill="1" applyBorder="1"/>
    <xf numFmtId="0" fontId="12" fillId="105" borderId="52" xfId="0" applyFont="1" applyFill="1" applyBorder="1"/>
    <xf numFmtId="0" fontId="0" fillId="106" borderId="50" xfId="0" applyFill="1" applyBorder="1"/>
    <xf numFmtId="0" fontId="0" fillId="106" borderId="51" xfId="0" applyFill="1" applyBorder="1"/>
    <xf numFmtId="4" fontId="0" fillId="106" borderId="52" xfId="0" applyNumberFormat="1" applyFill="1" applyBorder="1"/>
    <xf numFmtId="0" fontId="0" fillId="0" borderId="50" xfId="0" applyBorder="1"/>
    <xf numFmtId="0" fontId="0" fillId="0" borderId="51" xfId="0" applyBorder="1"/>
    <xf numFmtId="4" fontId="0" fillId="0" borderId="52" xfId="0" applyNumberFormat="1" applyBorder="1"/>
    <xf numFmtId="175" fontId="0" fillId="106" borderId="52" xfId="1" applyNumberFormat="1" applyFont="1" applyFill="1" applyBorder="1"/>
    <xf numFmtId="175" fontId="0" fillId="0" borderId="52" xfId="1" applyNumberFormat="1" applyFont="1" applyBorder="1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3" fontId="0" fillId="0" borderId="0" xfId="0" applyNumberFormat="1" applyProtection="1">
      <protection locked="0"/>
    </xf>
    <xf numFmtId="0" fontId="73" fillId="58" borderId="27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horizontal="right" vertical="center" wrapText="1"/>
    </xf>
    <xf numFmtId="0" fontId="73" fillId="62" borderId="49" xfId="0" applyFont="1" applyFill="1" applyBorder="1" applyAlignment="1">
      <alignment vertical="center" wrapText="1"/>
    </xf>
    <xf numFmtId="0" fontId="73" fillId="62" borderId="30" xfId="0" applyFont="1" applyFill="1" applyBorder="1" applyAlignment="1">
      <alignment vertical="center" wrapText="1"/>
    </xf>
    <xf numFmtId="3" fontId="73" fillId="60" borderId="30" xfId="0" applyNumberFormat="1" applyFont="1" applyFill="1" applyBorder="1" applyAlignment="1">
      <alignment horizontal="right" vertical="center" wrapText="1"/>
    </xf>
    <xf numFmtId="3" fontId="73" fillId="59" borderId="30" xfId="0" applyNumberFormat="1" applyFont="1" applyFill="1" applyBorder="1" applyAlignment="1">
      <alignment horizontal="right" vertical="center" wrapText="1"/>
    </xf>
    <xf numFmtId="3" fontId="73" fillId="61" borderId="30" xfId="0" applyNumberFormat="1" applyFont="1" applyFill="1" applyBorder="1" applyAlignment="1">
      <alignment horizontal="right" vertical="center" wrapText="1"/>
    </xf>
    <xf numFmtId="0" fontId="73" fillId="57" borderId="49" xfId="0" applyFont="1" applyFill="1" applyBorder="1" applyAlignment="1">
      <alignment vertical="center" wrapText="1"/>
    </xf>
    <xf numFmtId="0" fontId="73" fillId="57" borderId="30" xfId="0" applyFont="1" applyFill="1" applyBorder="1" applyAlignment="1">
      <alignment vertical="center" wrapText="1"/>
    </xf>
    <xf numFmtId="180" fontId="0" fillId="0" borderId="0" xfId="0" applyNumberFormat="1" applyFont="1" applyFill="1" applyBorder="1" applyProtection="1">
      <protection locked="0"/>
    </xf>
    <xf numFmtId="166" fontId="11" fillId="0" borderId="0" xfId="1" applyNumberFormat="1" applyFont="1" applyFill="1" applyProtection="1"/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181" fontId="0" fillId="2" borderId="0" xfId="0" applyNumberFormat="1" applyFont="1" applyFill="1" applyProtection="1">
      <protection locked="0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0" fillId="0" borderId="0" xfId="0"/>
    <xf numFmtId="0" fontId="73" fillId="58" borderId="23" xfId="0" applyFont="1" applyFill="1" applyBorder="1" applyAlignment="1">
      <alignment vertical="center" wrapText="1"/>
    </xf>
    <xf numFmtId="0" fontId="0" fillId="0" borderId="44" xfId="0" applyBorder="1"/>
    <xf numFmtId="0" fontId="97" fillId="0" borderId="0" xfId="0" applyFont="1" applyAlignment="1">
      <alignment vertical="center"/>
    </xf>
    <xf numFmtId="0" fontId="73" fillId="58" borderId="21" xfId="0" applyFont="1" applyFill="1" applyBorder="1" applyAlignment="1">
      <alignment vertical="center"/>
    </xf>
    <xf numFmtId="3" fontId="73" fillId="59" borderId="23" xfId="0" applyNumberFormat="1" applyFont="1" applyFill="1" applyBorder="1" applyAlignment="1">
      <alignment horizontal="right" vertical="center"/>
    </xf>
    <xf numFmtId="0" fontId="73" fillId="58" borderId="49" xfId="0" applyFont="1" applyFill="1" applyBorder="1" applyAlignment="1">
      <alignment vertical="center"/>
    </xf>
    <xf numFmtId="3" fontId="73" fillId="60" borderId="30" xfId="0" applyNumberFormat="1" applyFont="1" applyFill="1" applyBorder="1" applyAlignment="1">
      <alignment horizontal="right" vertical="center"/>
    </xf>
    <xf numFmtId="3" fontId="73" fillId="59" borderId="30" xfId="0" applyNumberFormat="1" applyFont="1" applyFill="1" applyBorder="1" applyAlignment="1">
      <alignment horizontal="right" vertical="center"/>
    </xf>
    <xf numFmtId="0" fontId="101" fillId="0" borderId="0" xfId="0" applyFont="1"/>
    <xf numFmtId="3" fontId="97" fillId="0" borderId="0" xfId="0" applyNumberFormat="1" applyFont="1" applyAlignment="1">
      <alignment horizontal="right" vertical="center"/>
    </xf>
    <xf numFmtId="0" fontId="73" fillId="58" borderId="21" xfId="0" applyFont="1" applyFill="1" applyBorder="1" applyAlignment="1">
      <alignment vertical="center" wrapText="1"/>
    </xf>
    <xf numFmtId="3" fontId="73" fillId="59" borderId="23" xfId="0" applyNumberFormat="1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vertical="center" wrapText="1"/>
    </xf>
    <xf numFmtId="3" fontId="0" fillId="101" borderId="46" xfId="0" applyNumberFormat="1" applyFill="1" applyBorder="1"/>
    <xf numFmtId="49" fontId="73" fillId="57" borderId="0" xfId="0" applyNumberFormat="1" applyFont="1" applyFill="1" applyBorder="1" applyAlignment="1">
      <alignment horizontal="left" vertical="center" wrapText="1" indent="1"/>
    </xf>
    <xf numFmtId="49" fontId="73" fillId="57" borderId="0" xfId="0" applyNumberFormat="1" applyFont="1" applyFill="1" applyBorder="1" applyAlignment="1">
      <alignment horizontal="left" vertical="center" wrapText="1"/>
    </xf>
    <xf numFmtId="0" fontId="102" fillId="0" borderId="0" xfId="0" applyFont="1"/>
    <xf numFmtId="0" fontId="0" fillId="0" borderId="0" xfId="0"/>
    <xf numFmtId="49" fontId="73" fillId="58" borderId="22" xfId="0" applyNumberFormat="1" applyFont="1" applyFill="1" applyBorder="1" applyAlignment="1">
      <alignment horizontal="left" vertical="center" wrapText="1"/>
    </xf>
    <xf numFmtId="0" fontId="0" fillId="0" borderId="0" xfId="0" applyProtection="1">
      <protection locked="0"/>
    </xf>
    <xf numFmtId="182" fontId="0" fillId="0" borderId="0" xfId="1258" applyNumberFormat="1" applyFont="1" applyFill="1" applyProtection="1">
      <protection locked="0"/>
    </xf>
    <xf numFmtId="182" fontId="0" fillId="0" borderId="53" xfId="0" applyNumberFormat="1" applyBorder="1"/>
    <xf numFmtId="183" fontId="0" fillId="0" borderId="0" xfId="0" applyNumberFormat="1" applyFont="1" applyFill="1" applyProtection="1">
      <protection locked="0"/>
    </xf>
    <xf numFmtId="183" fontId="0" fillId="2" borderId="0" xfId="0" applyNumberFormat="1" applyFont="1" applyFill="1" applyBorder="1" applyProtection="1">
      <protection locked="0"/>
    </xf>
    <xf numFmtId="181" fontId="11" fillId="2" borderId="0" xfId="0" applyNumberFormat="1" applyFont="1" applyFill="1" applyBorder="1" applyProtection="1"/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5" xfId="0" applyNumberFormat="1" applyFill="1" applyBorder="1" applyAlignment="1">
      <alignment horizontal="left" vertical="center" wrapText="1"/>
    </xf>
    <xf numFmtId="49" fontId="0" fillId="58" borderId="26" xfId="0" applyNumberFormat="1" applyFill="1" applyBorder="1" applyAlignment="1">
      <alignment horizontal="left" vertical="center" wrapText="1"/>
    </xf>
    <xf numFmtId="49" fontId="0" fillId="58" borderId="27" xfId="0" applyNumberFormat="1" applyFill="1" applyBorder="1" applyAlignment="1">
      <alignment horizontal="left" vertical="center" wrapText="1"/>
    </xf>
    <xf numFmtId="49" fontId="0" fillId="58" borderId="28" xfId="0" applyNumberFormat="1" applyFill="1" applyBorder="1" applyAlignment="1">
      <alignment horizontal="left" vertical="center" wrapText="1"/>
    </xf>
    <xf numFmtId="49" fontId="0" fillId="58" borderId="29" xfId="0" applyNumberFormat="1" applyFill="1" applyBorder="1" applyAlignment="1">
      <alignment horizontal="left" vertical="center" wrapText="1"/>
    </xf>
    <xf numFmtId="49" fontId="0" fillId="58" borderId="30" xfId="0" applyNumberForma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center" vertical="center" wrapText="1"/>
    </xf>
    <xf numFmtId="0" fontId="0" fillId="104" borderId="44" xfId="0" applyFill="1" applyBorder="1" applyAlignment="1">
      <alignment horizontal="center" vertical="center"/>
    </xf>
    <xf numFmtId="0" fontId="73" fillId="61" borderId="22" xfId="0" applyFont="1" applyFill="1" applyBorder="1" applyAlignment="1">
      <alignment vertical="center" wrapText="1"/>
    </xf>
    <xf numFmtId="0" fontId="73" fillId="61" borderId="24" xfId="0" applyFont="1" applyFill="1" applyBorder="1" applyAlignment="1">
      <alignment vertical="center" wrapText="1"/>
    </xf>
    <xf numFmtId="0" fontId="73" fillId="61" borderId="23" xfId="0" applyFont="1" applyFill="1" applyBorder="1" applyAlignment="1">
      <alignment vertical="center" wrapText="1"/>
    </xf>
    <xf numFmtId="0" fontId="0" fillId="0" borderId="44" xfId="0" applyBorder="1" applyAlignment="1">
      <alignment horizontal="center"/>
    </xf>
    <xf numFmtId="0" fontId="97" fillId="58" borderId="25" xfId="0" applyFont="1" applyFill="1" applyBorder="1" applyAlignment="1">
      <alignment vertical="center" wrapText="1"/>
    </xf>
    <xf numFmtId="0" fontId="97" fillId="58" borderId="26" xfId="0" applyFont="1" applyFill="1" applyBorder="1" applyAlignment="1">
      <alignment vertical="center" wrapText="1"/>
    </xf>
    <xf numFmtId="0" fontId="97" fillId="58" borderId="27" xfId="0" applyFont="1" applyFill="1" applyBorder="1" applyAlignment="1">
      <alignment vertical="center" wrapText="1"/>
    </xf>
    <xf numFmtId="0" fontId="97" fillId="58" borderId="28" xfId="0" applyFont="1" applyFill="1" applyBorder="1" applyAlignment="1">
      <alignment vertical="center" wrapText="1"/>
    </xf>
    <xf numFmtId="0" fontId="97" fillId="58" borderId="29" xfId="0" applyFont="1" applyFill="1" applyBorder="1" applyAlignment="1">
      <alignment vertical="center" wrapText="1"/>
    </xf>
    <xf numFmtId="0" fontId="97" fillId="58" borderId="30" xfId="0" applyFont="1" applyFill="1" applyBorder="1" applyAlignment="1">
      <alignment vertical="center" wrapText="1"/>
    </xf>
    <xf numFmtId="0" fontId="73" fillId="58" borderId="48" xfId="0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horizontal="right" vertical="center" wrapText="1"/>
    </xf>
    <xf numFmtId="0" fontId="73" fillId="58" borderId="22" xfId="0" applyFont="1" applyFill="1" applyBorder="1" applyAlignment="1">
      <alignment vertical="center" wrapText="1"/>
    </xf>
    <xf numFmtId="0" fontId="73" fillId="58" borderId="23" xfId="0" applyFont="1" applyFill="1" applyBorder="1" applyAlignment="1">
      <alignment vertical="center" wrapText="1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center" vertical="center" wrapText="1"/>
    </xf>
    <xf numFmtId="49" fontId="73" fillId="58" borderId="24" xfId="0" applyNumberFormat="1" applyFont="1" applyFill="1" applyBorder="1" applyAlignment="1">
      <alignment horizontal="center" vertical="center" wrapText="1"/>
    </xf>
    <xf numFmtId="49" fontId="73" fillId="58" borderId="23" xfId="0" applyNumberFormat="1" applyFont="1" applyFill="1" applyBorder="1" applyAlignment="1">
      <alignment horizontal="center" vertical="center" wrapText="1"/>
    </xf>
    <xf numFmtId="49" fontId="73" fillId="62" borderId="22" xfId="0" applyNumberFormat="1" applyFont="1" applyFill="1" applyBorder="1" applyAlignment="1">
      <alignment horizontal="center" vertical="center" wrapText="1"/>
    </xf>
    <xf numFmtId="49" fontId="73" fillId="62" borderId="24" xfId="0" applyNumberFormat="1" applyFont="1" applyFill="1" applyBorder="1" applyAlignment="1">
      <alignment horizontal="center" vertical="center" wrapText="1"/>
    </xf>
    <xf numFmtId="49" fontId="73" fillId="62" borderId="23" xfId="0" applyNumberFormat="1" applyFont="1" applyFill="1" applyBorder="1" applyAlignment="1">
      <alignment horizontal="center" vertical="center" wrapText="1"/>
    </xf>
  </cellXfs>
  <cellStyles count="29775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1 2" xfId="29769" xr:uid="{00000000-0005-0000-0000-00004C3D0000}"/>
    <cellStyle name="60 % - Farve2" xfId="27" builtinId="36" customBuiltin="1"/>
    <cellStyle name="60 % - Farve2 2" xfId="29770" xr:uid="{00000000-0005-0000-0000-00004E3D0000}"/>
    <cellStyle name="60 % - Farve3" xfId="31" builtinId="40" customBuiltin="1"/>
    <cellStyle name="60 % - Farve3 2" xfId="29771" xr:uid="{00000000-0005-0000-0000-0000503D0000}"/>
    <cellStyle name="60 % - Farve4" xfId="35" builtinId="44" customBuiltin="1"/>
    <cellStyle name="60 % - Farve4 2" xfId="29772" xr:uid="{00000000-0005-0000-0000-0000523D0000}"/>
    <cellStyle name="60 % - Farve5" xfId="39" builtinId="48" customBuiltin="1"/>
    <cellStyle name="60 % - Farve5 2" xfId="29773" xr:uid="{00000000-0005-0000-0000-0000543D0000}"/>
    <cellStyle name="60 % - Farve6" xfId="43" builtinId="52" customBuiltin="1"/>
    <cellStyle name="60 % - Farve6 2" xfId="29774" xr:uid="{00000000-0005-0000-0000-0000563D0000}"/>
    <cellStyle name="60 % - Markeringsfarve1 2" xfId="501" xr:uid="{00000000-0005-0000-0000-0000573D0000}"/>
    <cellStyle name="60 % - Markeringsfarve1 2 2" xfId="17983" xr:uid="{00000000-0005-0000-0000-0000583D0000}"/>
    <cellStyle name="60 % - Markeringsfarve1 2 2 2" xfId="19681" xr:uid="{00000000-0005-0000-0000-0000593D0000}"/>
    <cellStyle name="60 % - Markeringsfarve1 3" xfId="500" xr:uid="{00000000-0005-0000-0000-00005A3D0000}"/>
    <cellStyle name="60 % - Markeringsfarve1 3 2" xfId="18295" xr:uid="{00000000-0005-0000-0000-00005B3D0000}"/>
    <cellStyle name="60 % - Markeringsfarve1 4" xfId="18338" xr:uid="{00000000-0005-0000-0000-00005C3D0000}"/>
    <cellStyle name="60 % - Markeringsfarve1 4 2" xfId="27236" xr:uid="{00000000-0005-0000-0000-00005D3D0000}"/>
    <cellStyle name="60 % - Markeringsfarve2 2" xfId="503" xr:uid="{00000000-0005-0000-0000-00005E3D0000}"/>
    <cellStyle name="60 % - Markeringsfarve2 2 2" xfId="17984" xr:uid="{00000000-0005-0000-0000-00005F3D0000}"/>
    <cellStyle name="60 % - Markeringsfarve2 2 2 2" xfId="27286" xr:uid="{00000000-0005-0000-0000-0000603D0000}"/>
    <cellStyle name="60 % - Markeringsfarve2 3" xfId="502" xr:uid="{00000000-0005-0000-0000-0000613D0000}"/>
    <cellStyle name="60 % - Markeringsfarve2 3 2" xfId="18296" xr:uid="{00000000-0005-0000-0000-0000623D0000}"/>
    <cellStyle name="60 % - Markeringsfarve2 4" xfId="18339" xr:uid="{00000000-0005-0000-0000-0000633D0000}"/>
    <cellStyle name="60 % - Markeringsfarve2 4 2" xfId="27243" xr:uid="{00000000-0005-0000-0000-0000643D0000}"/>
    <cellStyle name="60 % - Markeringsfarve3 2" xfId="505" xr:uid="{00000000-0005-0000-0000-0000653D0000}"/>
    <cellStyle name="60 % - Markeringsfarve3 2 2" xfId="17985" xr:uid="{00000000-0005-0000-0000-0000663D0000}"/>
    <cellStyle name="60 % - Markeringsfarve3 2 2 2" xfId="27280" xr:uid="{00000000-0005-0000-0000-0000673D0000}"/>
    <cellStyle name="60 % - Markeringsfarve3 3" xfId="504" xr:uid="{00000000-0005-0000-0000-0000683D0000}"/>
    <cellStyle name="60 % - Markeringsfarve3 3 2" xfId="18297" xr:uid="{00000000-0005-0000-0000-0000693D0000}"/>
    <cellStyle name="60 % - Markeringsfarve3 4" xfId="18340" xr:uid="{00000000-0005-0000-0000-00006A3D0000}"/>
    <cellStyle name="60 % - Markeringsfarve3 4 2" xfId="27269" xr:uid="{00000000-0005-0000-0000-00006B3D0000}"/>
    <cellStyle name="60 % - Markeringsfarve4 2" xfId="507" xr:uid="{00000000-0005-0000-0000-00006C3D0000}"/>
    <cellStyle name="60 % - Markeringsfarve4 2 2" xfId="17986" xr:uid="{00000000-0005-0000-0000-00006D3D0000}"/>
    <cellStyle name="60 % - Markeringsfarve4 2 2 2" xfId="18630" xr:uid="{00000000-0005-0000-0000-00006E3D0000}"/>
    <cellStyle name="60 % - Markeringsfarve4 3" xfId="506" xr:uid="{00000000-0005-0000-0000-00006F3D0000}"/>
    <cellStyle name="60 % - Markeringsfarve4 3 2" xfId="18298" xr:uid="{00000000-0005-0000-0000-0000703D0000}"/>
    <cellStyle name="60 % - Markeringsfarve4 4" xfId="18341" xr:uid="{00000000-0005-0000-0000-0000713D0000}"/>
    <cellStyle name="60 % - Markeringsfarve4 4 2" xfId="18497" xr:uid="{00000000-0005-0000-0000-0000723D0000}"/>
    <cellStyle name="60 % - Markeringsfarve5 2" xfId="509" xr:uid="{00000000-0005-0000-0000-0000733D0000}"/>
    <cellStyle name="60 % - Markeringsfarve5 2 2" xfId="17987" xr:uid="{00000000-0005-0000-0000-0000743D0000}"/>
    <cellStyle name="60 % - Markeringsfarve5 2 2 2" xfId="27262" xr:uid="{00000000-0005-0000-0000-0000753D0000}"/>
    <cellStyle name="60 % - Markeringsfarve5 3" xfId="508" xr:uid="{00000000-0005-0000-0000-0000763D0000}"/>
    <cellStyle name="60 % - Markeringsfarve5 3 2" xfId="18299" xr:uid="{00000000-0005-0000-0000-0000773D0000}"/>
    <cellStyle name="60 % - Markeringsfarve5 4" xfId="18342" xr:uid="{00000000-0005-0000-0000-0000783D0000}"/>
    <cellStyle name="60 % - Markeringsfarve5 4 2" xfId="27261" xr:uid="{00000000-0005-0000-0000-0000793D0000}"/>
    <cellStyle name="60 % - Markeringsfarve6 2" xfId="511" xr:uid="{00000000-0005-0000-0000-00007A3D0000}"/>
    <cellStyle name="60 % - Markeringsfarve6 2 2" xfId="17988" xr:uid="{00000000-0005-0000-0000-00007B3D0000}"/>
    <cellStyle name="60 % - Markeringsfarve6 2 2 2" xfId="27235" xr:uid="{00000000-0005-0000-0000-00007C3D0000}"/>
    <cellStyle name="60 % - Markeringsfarve6 3" xfId="510" xr:uid="{00000000-0005-0000-0000-00007D3D0000}"/>
    <cellStyle name="60 % - Markeringsfarve6 3 2" xfId="18300" xr:uid="{00000000-0005-0000-0000-00007E3D0000}"/>
    <cellStyle name="60 % - Markeringsfarve6 4" xfId="18343" xr:uid="{00000000-0005-0000-0000-00007F3D0000}"/>
    <cellStyle name="60 % - Markeringsfarve6 4 2" xfId="27232" xr:uid="{00000000-0005-0000-0000-0000803D0000}"/>
    <cellStyle name="60% - Accent1" xfId="18008" xr:uid="{00000000-0005-0000-0000-0000813D0000}"/>
    <cellStyle name="60% - Accent2" xfId="18040" xr:uid="{00000000-0005-0000-0000-0000823D0000}"/>
    <cellStyle name="60% - Accent3" xfId="18024" xr:uid="{00000000-0005-0000-0000-0000833D0000}"/>
    <cellStyle name="60% - Accent4" xfId="18026" xr:uid="{00000000-0005-0000-0000-0000843D0000}"/>
    <cellStyle name="60% - Accent5" xfId="18027" xr:uid="{00000000-0005-0000-0000-0000853D0000}"/>
    <cellStyle name="60% - Accent6" xfId="18025" xr:uid="{00000000-0005-0000-0000-0000863D0000}"/>
    <cellStyle name="Accent1" xfId="18023" xr:uid="{00000000-0005-0000-0000-0000873D0000}"/>
    <cellStyle name="Accent1 - 20%" xfId="27359" xr:uid="{00000000-0005-0000-0000-0000883D0000}"/>
    <cellStyle name="Accent1 - 40%" xfId="27360" xr:uid="{00000000-0005-0000-0000-0000893D0000}"/>
    <cellStyle name="Accent1 - 60%" xfId="27361" xr:uid="{00000000-0005-0000-0000-00008A3D0000}"/>
    <cellStyle name="Accent2" xfId="18043" xr:uid="{00000000-0005-0000-0000-00008B3D0000}"/>
    <cellStyle name="Accent2 - 20%" xfId="27363" xr:uid="{00000000-0005-0000-0000-00008C3D0000}"/>
    <cellStyle name="Accent2 - 40%" xfId="27364" xr:uid="{00000000-0005-0000-0000-00008D3D0000}"/>
    <cellStyle name="Accent2 - 60%" xfId="27365" xr:uid="{00000000-0005-0000-0000-00008E3D0000}"/>
    <cellStyle name="Accent3" xfId="18033" xr:uid="{00000000-0005-0000-0000-00008F3D0000}"/>
    <cellStyle name="Accent3 - 20%" xfId="27367" xr:uid="{00000000-0005-0000-0000-0000903D0000}"/>
    <cellStyle name="Accent3 - 40%" xfId="27368" xr:uid="{00000000-0005-0000-0000-0000913D0000}"/>
    <cellStyle name="Accent3 - 60%" xfId="27369" xr:uid="{00000000-0005-0000-0000-0000923D0000}"/>
    <cellStyle name="Accent4" xfId="18007" xr:uid="{00000000-0005-0000-0000-0000933D0000}"/>
    <cellStyle name="Accent4 - 20%" xfId="27371" xr:uid="{00000000-0005-0000-0000-0000943D0000}"/>
    <cellStyle name="Accent4 - 40%" xfId="27372" xr:uid="{00000000-0005-0000-0000-0000953D0000}"/>
    <cellStyle name="Accent4 - 60%" xfId="27373" xr:uid="{00000000-0005-0000-0000-0000963D0000}"/>
    <cellStyle name="Accent5" xfId="18028" xr:uid="{00000000-0005-0000-0000-0000973D0000}"/>
    <cellStyle name="Accent5 - 20%" xfId="27375" xr:uid="{00000000-0005-0000-0000-0000983D0000}"/>
    <cellStyle name="Accent5 - 40%" xfId="27376" xr:uid="{00000000-0005-0000-0000-0000993D0000}"/>
    <cellStyle name="Accent5 - 60%" xfId="27377" xr:uid="{00000000-0005-0000-0000-00009A3D0000}"/>
    <cellStyle name="Accent6" xfId="18029" xr:uid="{00000000-0005-0000-0000-00009B3D0000}"/>
    <cellStyle name="Accent6 - 20%" xfId="27379" xr:uid="{00000000-0005-0000-0000-00009C3D0000}"/>
    <cellStyle name="Accent6 - 40%" xfId="27380" xr:uid="{00000000-0005-0000-0000-00009D3D0000}"/>
    <cellStyle name="Accent6 - 60%" xfId="27381" xr:uid="{00000000-0005-0000-0000-00009E3D0000}"/>
    <cellStyle name="Advarselstekst" xfId="16" builtinId="11" customBuiltin="1"/>
    <cellStyle name="Advarselstekst 2" xfId="513" xr:uid="{00000000-0005-0000-0000-0000A03D0000}"/>
    <cellStyle name="Advarselstekst 2 2" xfId="17989" xr:uid="{00000000-0005-0000-0000-0000A13D0000}"/>
    <cellStyle name="Advarselstekst 2 2 2" xfId="27292" xr:uid="{00000000-0005-0000-0000-0000A23D0000}"/>
    <cellStyle name="Advarselstekst 2 3" xfId="27439" xr:uid="{00000000-0005-0000-0000-0000A33D0000}"/>
    <cellStyle name="Advarselstekst 3" xfId="512" xr:uid="{00000000-0005-0000-0000-0000A43D0000}"/>
    <cellStyle name="Advarselstekst 4" xfId="27242" xr:uid="{00000000-0005-0000-0000-0000A53D0000}"/>
    <cellStyle name="Bad" xfId="18034" xr:uid="{00000000-0005-0000-0000-0000A63D0000}"/>
    <cellStyle name="Bemærk!" xfId="17" builtinId="10" customBuiltin="1"/>
    <cellStyle name="Bemærk! 10" xfId="28471" xr:uid="{00000000-0005-0000-0000-0000A83D0000}"/>
    <cellStyle name="Bemærk! 11" xfId="29176" xr:uid="{00000000-0005-0000-0000-0000A93D0000}"/>
    <cellStyle name="Bemærk! 2" xfId="55" xr:uid="{00000000-0005-0000-0000-0000AA3D0000}"/>
    <cellStyle name="Bemærk! 2 10" xfId="4731" xr:uid="{00000000-0005-0000-0000-0000AB3D0000}"/>
    <cellStyle name="Bemærk! 2 10 2" xfId="13552" xr:uid="{00000000-0005-0000-0000-0000AC3D0000}"/>
    <cellStyle name="Bemærk! 2 10 3" xfId="28258" xr:uid="{00000000-0005-0000-0000-0000AD3D0000}"/>
    <cellStyle name="Bemærk! 2 10 4" xfId="29177" xr:uid="{00000000-0005-0000-0000-0000AE3D0000}"/>
    <cellStyle name="Bemærk! 2 11" xfId="9132" xr:uid="{00000000-0005-0000-0000-0000AF3D0000}"/>
    <cellStyle name="Bemærk! 2 11 2" xfId="27274" xr:uid="{00000000-0005-0000-0000-0000B03D0000}"/>
    <cellStyle name="Bemærk! 2 12" xfId="17990" xr:uid="{00000000-0005-0000-0000-0000B13D0000}"/>
    <cellStyle name="Bemærk! 2 2" xfId="82" xr:uid="{00000000-0005-0000-0000-0000B23D0000}"/>
    <cellStyle name="Bemærk! 2 2 10" xfId="18199" xr:uid="{00000000-0005-0000-0000-0000B33D0000}"/>
    <cellStyle name="Bemærk! 2 2 11" xfId="28259" xr:uid="{00000000-0005-0000-0000-0000B43D0000}"/>
    <cellStyle name="Bemærk! 2 2 12" xfId="29178" xr:uid="{00000000-0005-0000-0000-0000B53D0000}"/>
    <cellStyle name="Bemærk! 2 2 2" xfId="116" xr:uid="{00000000-0005-0000-0000-0000B63D0000}"/>
    <cellStyle name="Bemærk! 2 2 2 10" xfId="29179" xr:uid="{00000000-0005-0000-0000-0000B73D0000}"/>
    <cellStyle name="Bemærk! 2 2 2 2" xfId="215" xr:uid="{00000000-0005-0000-0000-0000B83D0000}"/>
    <cellStyle name="Bemærk! 2 2 2 2 2" xfId="422" xr:uid="{00000000-0005-0000-0000-0000B93D0000}"/>
    <cellStyle name="Bemærk! 2 2 2 2 2 2" xfId="915" xr:uid="{00000000-0005-0000-0000-0000BA3D0000}"/>
    <cellStyle name="Bemærk! 2 2 2 2 2 2 2" xfId="4669" xr:uid="{00000000-0005-0000-0000-0000BB3D0000}"/>
    <cellStyle name="Bemærk! 2 2 2 2 2 2 2 2" xfId="9092" xr:uid="{00000000-0005-0000-0000-0000BC3D0000}"/>
    <cellStyle name="Bemærk! 2 2 2 2 2 2 2 2 2" xfId="17913" xr:uid="{00000000-0005-0000-0000-0000BD3D0000}"/>
    <cellStyle name="Bemærk! 2 2 2 2 2 2 2 3" xfId="13506" xr:uid="{00000000-0005-0000-0000-0000BE3D0000}"/>
    <cellStyle name="Bemærk! 2 2 2 2 2 2 3" xfId="6887" xr:uid="{00000000-0005-0000-0000-0000BF3D0000}"/>
    <cellStyle name="Bemærk! 2 2 2 2 2 2 3 2" xfId="15708" xr:uid="{00000000-0005-0000-0000-0000C03D0000}"/>
    <cellStyle name="Bemærk! 2 2 2 2 2 2 4" xfId="11301" xr:uid="{00000000-0005-0000-0000-0000C13D0000}"/>
    <cellStyle name="Bemærk! 2 2 2 2 2 2 5" xfId="28263" xr:uid="{00000000-0005-0000-0000-0000C23D0000}"/>
    <cellStyle name="Bemærk! 2 2 2 2 2 2 6" xfId="29182" xr:uid="{00000000-0005-0000-0000-0000C33D0000}"/>
    <cellStyle name="Bemærk! 2 2 2 2 2 3" xfId="2003" xr:uid="{00000000-0005-0000-0000-0000C43D0000}"/>
    <cellStyle name="Bemærk! 2 2 2 2 2 3 2" xfId="3960" xr:uid="{00000000-0005-0000-0000-0000C53D0000}"/>
    <cellStyle name="Bemærk! 2 2 2 2 2 3 2 2" xfId="8354" xr:uid="{00000000-0005-0000-0000-0000C63D0000}"/>
    <cellStyle name="Bemærk! 2 2 2 2 2 3 2 2 2" xfId="17175" xr:uid="{00000000-0005-0000-0000-0000C73D0000}"/>
    <cellStyle name="Bemærk! 2 2 2 2 2 3 2 3" xfId="12768" xr:uid="{00000000-0005-0000-0000-0000C83D0000}"/>
    <cellStyle name="Bemærk! 2 2 2 2 2 3 3" xfId="6149" xr:uid="{00000000-0005-0000-0000-0000C93D0000}"/>
    <cellStyle name="Bemærk! 2 2 2 2 2 3 3 2" xfId="14970" xr:uid="{00000000-0005-0000-0000-0000CA3D0000}"/>
    <cellStyle name="Bemærk! 2 2 2 2 2 3 4" xfId="10563" xr:uid="{00000000-0005-0000-0000-0000CB3D0000}"/>
    <cellStyle name="Bemærk! 2 2 2 2 2 4" xfId="3223" xr:uid="{00000000-0005-0000-0000-0000CC3D0000}"/>
    <cellStyle name="Bemærk! 2 2 2 2 2 4 2" xfId="7617" xr:uid="{00000000-0005-0000-0000-0000CD3D0000}"/>
    <cellStyle name="Bemærk! 2 2 2 2 2 4 2 2" xfId="16438" xr:uid="{00000000-0005-0000-0000-0000CE3D0000}"/>
    <cellStyle name="Bemærk! 2 2 2 2 2 4 3" xfId="12031" xr:uid="{00000000-0005-0000-0000-0000CF3D0000}"/>
    <cellStyle name="Bemærk! 2 2 2 2 2 5" xfId="5412" xr:uid="{00000000-0005-0000-0000-0000D03D0000}"/>
    <cellStyle name="Bemærk! 2 2 2 2 2 5 2" xfId="14233" xr:uid="{00000000-0005-0000-0000-0000D13D0000}"/>
    <cellStyle name="Bemærk! 2 2 2 2 2 6" xfId="9826" xr:uid="{00000000-0005-0000-0000-0000D23D0000}"/>
    <cellStyle name="Bemærk! 2 2 2 2 2 7" xfId="28262" xr:uid="{00000000-0005-0000-0000-0000D33D0000}"/>
    <cellStyle name="Bemærk! 2 2 2 2 2 8" xfId="29181" xr:uid="{00000000-0005-0000-0000-0000D43D0000}"/>
    <cellStyle name="Bemærk! 2 2 2 2 3" xfId="711" xr:uid="{00000000-0005-0000-0000-0000D53D0000}"/>
    <cellStyle name="Bemærk! 2 2 2 2 3 2" xfId="4314" xr:uid="{00000000-0005-0000-0000-0000D63D0000}"/>
    <cellStyle name="Bemærk! 2 2 2 2 3 2 2" xfId="8723" xr:uid="{00000000-0005-0000-0000-0000D73D0000}"/>
    <cellStyle name="Bemærk! 2 2 2 2 3 2 2 2" xfId="17544" xr:uid="{00000000-0005-0000-0000-0000D83D0000}"/>
    <cellStyle name="Bemærk! 2 2 2 2 3 2 3" xfId="13137" xr:uid="{00000000-0005-0000-0000-0000D93D0000}"/>
    <cellStyle name="Bemærk! 2 2 2 2 3 3" xfId="6518" xr:uid="{00000000-0005-0000-0000-0000DA3D0000}"/>
    <cellStyle name="Bemærk! 2 2 2 2 3 3 2" xfId="15339" xr:uid="{00000000-0005-0000-0000-0000DB3D0000}"/>
    <cellStyle name="Bemærk! 2 2 2 2 3 4" xfId="10932" xr:uid="{00000000-0005-0000-0000-0000DC3D0000}"/>
    <cellStyle name="Bemærk! 2 2 2 2 3 5" xfId="28264" xr:uid="{00000000-0005-0000-0000-0000DD3D0000}"/>
    <cellStyle name="Bemærk! 2 2 2 2 3 6" xfId="29183" xr:uid="{00000000-0005-0000-0000-0000DE3D0000}"/>
    <cellStyle name="Bemærk! 2 2 2 2 4" xfId="1648" xr:uid="{00000000-0005-0000-0000-0000DF3D0000}"/>
    <cellStyle name="Bemærk! 2 2 2 2 4 2" xfId="3591" xr:uid="{00000000-0005-0000-0000-0000E03D0000}"/>
    <cellStyle name="Bemærk! 2 2 2 2 4 2 2" xfId="7985" xr:uid="{00000000-0005-0000-0000-0000E13D0000}"/>
    <cellStyle name="Bemærk! 2 2 2 2 4 2 2 2" xfId="16806" xr:uid="{00000000-0005-0000-0000-0000E23D0000}"/>
    <cellStyle name="Bemærk! 2 2 2 2 4 2 3" xfId="12399" xr:uid="{00000000-0005-0000-0000-0000E33D0000}"/>
    <cellStyle name="Bemærk! 2 2 2 2 4 3" xfId="5780" xr:uid="{00000000-0005-0000-0000-0000E43D0000}"/>
    <cellStyle name="Bemærk! 2 2 2 2 4 3 2" xfId="14601" xr:uid="{00000000-0005-0000-0000-0000E53D0000}"/>
    <cellStyle name="Bemærk! 2 2 2 2 4 4" xfId="10194" xr:uid="{00000000-0005-0000-0000-0000E63D0000}"/>
    <cellStyle name="Bemærk! 2 2 2 2 5" xfId="2854" xr:uid="{00000000-0005-0000-0000-0000E73D0000}"/>
    <cellStyle name="Bemærk! 2 2 2 2 5 2" xfId="7248" xr:uid="{00000000-0005-0000-0000-0000E83D0000}"/>
    <cellStyle name="Bemærk! 2 2 2 2 5 2 2" xfId="16069" xr:uid="{00000000-0005-0000-0000-0000E93D0000}"/>
    <cellStyle name="Bemærk! 2 2 2 2 5 3" xfId="11662" xr:uid="{00000000-0005-0000-0000-0000EA3D0000}"/>
    <cellStyle name="Bemærk! 2 2 2 2 6" xfId="5043" xr:uid="{00000000-0005-0000-0000-0000EB3D0000}"/>
    <cellStyle name="Bemærk! 2 2 2 2 6 2" xfId="13864" xr:uid="{00000000-0005-0000-0000-0000EC3D0000}"/>
    <cellStyle name="Bemærk! 2 2 2 2 7" xfId="9457" xr:uid="{00000000-0005-0000-0000-0000ED3D0000}"/>
    <cellStyle name="Bemærk! 2 2 2 2 8" xfId="28261" xr:uid="{00000000-0005-0000-0000-0000EE3D0000}"/>
    <cellStyle name="Bemærk! 2 2 2 2 9" xfId="29180" xr:uid="{00000000-0005-0000-0000-0000EF3D0000}"/>
    <cellStyle name="Bemærk! 2 2 2 3" xfId="329" xr:uid="{00000000-0005-0000-0000-0000F03D0000}"/>
    <cellStyle name="Bemærk! 2 2 2 3 2" xfId="822" xr:uid="{00000000-0005-0000-0000-0000F13D0000}"/>
    <cellStyle name="Bemærk! 2 2 2 3 2 2" xfId="4485" xr:uid="{00000000-0005-0000-0000-0000F23D0000}"/>
    <cellStyle name="Bemærk! 2 2 2 3 2 2 2" xfId="8907" xr:uid="{00000000-0005-0000-0000-0000F33D0000}"/>
    <cellStyle name="Bemærk! 2 2 2 3 2 2 2 2" xfId="17728" xr:uid="{00000000-0005-0000-0000-0000F43D0000}"/>
    <cellStyle name="Bemærk! 2 2 2 3 2 2 3" xfId="13321" xr:uid="{00000000-0005-0000-0000-0000F53D0000}"/>
    <cellStyle name="Bemærk! 2 2 2 3 2 3" xfId="6702" xr:uid="{00000000-0005-0000-0000-0000F63D0000}"/>
    <cellStyle name="Bemærk! 2 2 2 3 2 3 2" xfId="15523" xr:uid="{00000000-0005-0000-0000-0000F73D0000}"/>
    <cellStyle name="Bemærk! 2 2 2 3 2 4" xfId="11116" xr:uid="{00000000-0005-0000-0000-0000F83D0000}"/>
    <cellStyle name="Bemærk! 2 2 2 3 2 5" xfId="28266" xr:uid="{00000000-0005-0000-0000-0000F93D0000}"/>
    <cellStyle name="Bemærk! 2 2 2 3 2 6" xfId="29185" xr:uid="{00000000-0005-0000-0000-0000FA3D0000}"/>
    <cellStyle name="Bemærk! 2 2 2 3 3" xfId="1819" xr:uid="{00000000-0005-0000-0000-0000FB3D0000}"/>
    <cellStyle name="Bemærk! 2 2 2 3 3 2" xfId="3775" xr:uid="{00000000-0005-0000-0000-0000FC3D0000}"/>
    <cellStyle name="Bemærk! 2 2 2 3 3 2 2" xfId="8169" xr:uid="{00000000-0005-0000-0000-0000FD3D0000}"/>
    <cellStyle name="Bemærk! 2 2 2 3 3 2 2 2" xfId="16990" xr:uid="{00000000-0005-0000-0000-0000FE3D0000}"/>
    <cellStyle name="Bemærk! 2 2 2 3 3 2 3" xfId="12583" xr:uid="{00000000-0005-0000-0000-0000FF3D0000}"/>
    <cellStyle name="Bemærk! 2 2 2 3 3 3" xfId="5964" xr:uid="{00000000-0005-0000-0000-0000003E0000}"/>
    <cellStyle name="Bemærk! 2 2 2 3 3 3 2" xfId="14785" xr:uid="{00000000-0005-0000-0000-0000013E0000}"/>
    <cellStyle name="Bemærk! 2 2 2 3 3 4" xfId="10378" xr:uid="{00000000-0005-0000-0000-0000023E0000}"/>
    <cellStyle name="Bemærk! 2 2 2 3 4" xfId="3038" xr:uid="{00000000-0005-0000-0000-0000033E0000}"/>
    <cellStyle name="Bemærk! 2 2 2 3 4 2" xfId="7432" xr:uid="{00000000-0005-0000-0000-0000043E0000}"/>
    <cellStyle name="Bemærk! 2 2 2 3 4 2 2" xfId="16253" xr:uid="{00000000-0005-0000-0000-0000053E0000}"/>
    <cellStyle name="Bemærk! 2 2 2 3 4 3" xfId="11846" xr:uid="{00000000-0005-0000-0000-0000063E0000}"/>
    <cellStyle name="Bemærk! 2 2 2 3 5" xfId="5227" xr:uid="{00000000-0005-0000-0000-0000073E0000}"/>
    <cellStyle name="Bemærk! 2 2 2 3 5 2" xfId="14048" xr:uid="{00000000-0005-0000-0000-0000083E0000}"/>
    <cellStyle name="Bemærk! 2 2 2 3 6" xfId="9641" xr:uid="{00000000-0005-0000-0000-0000093E0000}"/>
    <cellStyle name="Bemærk! 2 2 2 3 7" xfId="28265" xr:uid="{00000000-0005-0000-0000-00000A3E0000}"/>
    <cellStyle name="Bemærk! 2 2 2 3 8" xfId="29184" xr:uid="{00000000-0005-0000-0000-00000B3E0000}"/>
    <cellStyle name="Bemærk! 2 2 2 4" xfId="710" xr:uid="{00000000-0005-0000-0000-00000C3E0000}"/>
    <cellStyle name="Bemærk! 2 2 2 4 2" xfId="4130" xr:uid="{00000000-0005-0000-0000-00000D3E0000}"/>
    <cellStyle name="Bemærk! 2 2 2 4 2 2" xfId="8538" xr:uid="{00000000-0005-0000-0000-00000E3E0000}"/>
    <cellStyle name="Bemærk! 2 2 2 4 2 2 2" xfId="17359" xr:uid="{00000000-0005-0000-0000-00000F3E0000}"/>
    <cellStyle name="Bemærk! 2 2 2 4 2 3" xfId="12952" xr:uid="{00000000-0005-0000-0000-0000103E0000}"/>
    <cellStyle name="Bemærk! 2 2 2 4 3" xfId="6333" xr:uid="{00000000-0005-0000-0000-0000113E0000}"/>
    <cellStyle name="Bemærk! 2 2 2 4 3 2" xfId="15154" xr:uid="{00000000-0005-0000-0000-0000123E0000}"/>
    <cellStyle name="Bemærk! 2 2 2 4 4" xfId="10747" xr:uid="{00000000-0005-0000-0000-0000133E0000}"/>
    <cellStyle name="Bemærk! 2 2 2 4 5" xfId="28267" xr:uid="{00000000-0005-0000-0000-0000143E0000}"/>
    <cellStyle name="Bemærk! 2 2 2 4 6" xfId="29186" xr:uid="{00000000-0005-0000-0000-0000153E0000}"/>
    <cellStyle name="Bemærk! 2 2 2 5" xfId="1027" xr:uid="{00000000-0005-0000-0000-0000163E0000}"/>
    <cellStyle name="Bemærk! 2 2 2 5 2" xfId="3406" xr:uid="{00000000-0005-0000-0000-0000173E0000}"/>
    <cellStyle name="Bemærk! 2 2 2 5 2 2" xfId="7800" xr:uid="{00000000-0005-0000-0000-0000183E0000}"/>
    <cellStyle name="Bemærk! 2 2 2 5 2 2 2" xfId="16621" xr:uid="{00000000-0005-0000-0000-0000193E0000}"/>
    <cellStyle name="Bemærk! 2 2 2 5 2 3" xfId="12214" xr:uid="{00000000-0005-0000-0000-00001A3E0000}"/>
    <cellStyle name="Bemærk! 2 2 2 5 3" xfId="5595" xr:uid="{00000000-0005-0000-0000-00001B3E0000}"/>
    <cellStyle name="Bemærk! 2 2 2 5 3 2" xfId="14416" xr:uid="{00000000-0005-0000-0000-00001C3E0000}"/>
    <cellStyle name="Bemærk! 2 2 2 5 4" xfId="10009" xr:uid="{00000000-0005-0000-0000-00001D3E0000}"/>
    <cellStyle name="Bemærk! 2 2 2 5 5" xfId="28268" xr:uid="{00000000-0005-0000-0000-00001E3E0000}"/>
    <cellStyle name="Bemærk! 2 2 2 5 6" xfId="29187" xr:uid="{00000000-0005-0000-0000-00001F3E0000}"/>
    <cellStyle name="Bemærk! 2 2 2 6" xfId="2670" xr:uid="{00000000-0005-0000-0000-0000203E0000}"/>
    <cellStyle name="Bemærk! 2 2 2 6 2" xfId="7063" xr:uid="{00000000-0005-0000-0000-0000213E0000}"/>
    <cellStyle name="Bemærk! 2 2 2 6 2 2" xfId="15884" xr:uid="{00000000-0005-0000-0000-0000223E0000}"/>
    <cellStyle name="Bemærk! 2 2 2 6 3" xfId="11477" xr:uid="{00000000-0005-0000-0000-0000233E0000}"/>
    <cellStyle name="Bemærk! 2 2 2 7" xfId="4858" xr:uid="{00000000-0005-0000-0000-0000243E0000}"/>
    <cellStyle name="Bemærk! 2 2 2 7 2" xfId="13679" xr:uid="{00000000-0005-0000-0000-0000253E0000}"/>
    <cellStyle name="Bemærk! 2 2 2 8" xfId="9272" xr:uid="{00000000-0005-0000-0000-0000263E0000}"/>
    <cellStyle name="Bemærk! 2 2 2 9" xfId="28260" xr:uid="{00000000-0005-0000-0000-0000273E0000}"/>
    <cellStyle name="Bemærk! 2 2 3" xfId="148" xr:uid="{00000000-0005-0000-0000-0000283E0000}"/>
    <cellStyle name="Bemærk! 2 2 3 2" xfId="245" xr:uid="{00000000-0005-0000-0000-0000293E0000}"/>
    <cellStyle name="Bemærk! 2 2 3 2 2" xfId="452" xr:uid="{00000000-0005-0000-0000-00002A3E0000}"/>
    <cellStyle name="Bemærk! 2 2 3 2 2 2" xfId="945" xr:uid="{00000000-0005-0000-0000-00002B3E0000}"/>
    <cellStyle name="Bemærk! 2 2 3 2 2 2 2" xfId="9000" xr:uid="{00000000-0005-0000-0000-00002C3E0000}"/>
    <cellStyle name="Bemærk! 2 2 3 2 2 2 2 2" xfId="17821" xr:uid="{00000000-0005-0000-0000-00002D3E0000}"/>
    <cellStyle name="Bemærk! 2 2 3 2 2 2 3" xfId="13414" xr:uid="{00000000-0005-0000-0000-00002E3E0000}"/>
    <cellStyle name="Bemærk! 2 2 3 2 2 2 4" xfId="28272" xr:uid="{00000000-0005-0000-0000-00002F3E0000}"/>
    <cellStyle name="Bemærk! 2 2 3 2 2 2 5" xfId="29191" xr:uid="{00000000-0005-0000-0000-0000303E0000}"/>
    <cellStyle name="Bemærk! 2 2 3 2 2 3" xfId="6795" xr:uid="{00000000-0005-0000-0000-0000313E0000}"/>
    <cellStyle name="Bemærk! 2 2 3 2 2 3 2" xfId="15616" xr:uid="{00000000-0005-0000-0000-0000323E0000}"/>
    <cellStyle name="Bemærk! 2 2 3 2 2 4" xfId="11209" xr:uid="{00000000-0005-0000-0000-0000333E0000}"/>
    <cellStyle name="Bemærk! 2 2 3 2 2 5" xfId="28271" xr:uid="{00000000-0005-0000-0000-0000343E0000}"/>
    <cellStyle name="Bemærk! 2 2 3 2 2 6" xfId="29190" xr:uid="{00000000-0005-0000-0000-0000353E0000}"/>
    <cellStyle name="Bemærk! 2 2 3 2 3" xfId="713" xr:uid="{00000000-0005-0000-0000-0000363E0000}"/>
    <cellStyle name="Bemærk! 2 2 3 2 3 2" xfId="3868" xr:uid="{00000000-0005-0000-0000-0000373E0000}"/>
    <cellStyle name="Bemærk! 2 2 3 2 3 2 2" xfId="8262" xr:uid="{00000000-0005-0000-0000-0000383E0000}"/>
    <cellStyle name="Bemærk! 2 2 3 2 3 2 2 2" xfId="17083" xr:uid="{00000000-0005-0000-0000-0000393E0000}"/>
    <cellStyle name="Bemærk! 2 2 3 2 3 2 3" xfId="12676" xr:uid="{00000000-0005-0000-0000-00003A3E0000}"/>
    <cellStyle name="Bemærk! 2 2 3 2 3 3" xfId="6057" xr:uid="{00000000-0005-0000-0000-00003B3E0000}"/>
    <cellStyle name="Bemærk! 2 2 3 2 3 3 2" xfId="14878" xr:uid="{00000000-0005-0000-0000-00003C3E0000}"/>
    <cellStyle name="Bemærk! 2 2 3 2 3 4" xfId="10471" xr:uid="{00000000-0005-0000-0000-00003D3E0000}"/>
    <cellStyle name="Bemærk! 2 2 3 2 3 5" xfId="28273" xr:uid="{00000000-0005-0000-0000-00003E3E0000}"/>
    <cellStyle name="Bemærk! 2 2 3 2 3 6" xfId="29192" xr:uid="{00000000-0005-0000-0000-00003F3E0000}"/>
    <cellStyle name="Bemærk! 2 2 3 2 4" xfId="3131" xr:uid="{00000000-0005-0000-0000-0000403E0000}"/>
    <cellStyle name="Bemærk! 2 2 3 2 4 2" xfId="7525" xr:uid="{00000000-0005-0000-0000-0000413E0000}"/>
    <cellStyle name="Bemærk! 2 2 3 2 4 2 2" xfId="16346" xr:uid="{00000000-0005-0000-0000-0000423E0000}"/>
    <cellStyle name="Bemærk! 2 2 3 2 4 3" xfId="11939" xr:uid="{00000000-0005-0000-0000-0000433E0000}"/>
    <cellStyle name="Bemærk! 2 2 3 2 5" xfId="5320" xr:uid="{00000000-0005-0000-0000-0000443E0000}"/>
    <cellStyle name="Bemærk! 2 2 3 2 5 2" xfId="14141" xr:uid="{00000000-0005-0000-0000-0000453E0000}"/>
    <cellStyle name="Bemærk! 2 2 3 2 6" xfId="9734" xr:uid="{00000000-0005-0000-0000-0000463E0000}"/>
    <cellStyle name="Bemærk! 2 2 3 2 7" xfId="28270" xr:uid="{00000000-0005-0000-0000-0000473E0000}"/>
    <cellStyle name="Bemærk! 2 2 3 2 8" xfId="29189" xr:uid="{00000000-0005-0000-0000-0000483E0000}"/>
    <cellStyle name="Bemærk! 2 2 3 3" xfId="359" xr:uid="{00000000-0005-0000-0000-0000493E0000}"/>
    <cellStyle name="Bemærk! 2 2 3 3 2" xfId="852" xr:uid="{00000000-0005-0000-0000-00004A3E0000}"/>
    <cellStyle name="Bemærk! 2 2 3 3 2 2" xfId="8631" xr:uid="{00000000-0005-0000-0000-00004B3E0000}"/>
    <cellStyle name="Bemærk! 2 2 3 3 2 2 2" xfId="17452" xr:uid="{00000000-0005-0000-0000-00004C3E0000}"/>
    <cellStyle name="Bemærk! 2 2 3 3 2 3" xfId="13045" xr:uid="{00000000-0005-0000-0000-00004D3E0000}"/>
    <cellStyle name="Bemærk! 2 2 3 3 2 4" xfId="28275" xr:uid="{00000000-0005-0000-0000-00004E3E0000}"/>
    <cellStyle name="Bemærk! 2 2 3 3 2 5" xfId="29194" xr:uid="{00000000-0005-0000-0000-00004F3E0000}"/>
    <cellStyle name="Bemærk! 2 2 3 3 3" xfId="6426" xr:uid="{00000000-0005-0000-0000-0000503E0000}"/>
    <cellStyle name="Bemærk! 2 2 3 3 3 2" xfId="15247" xr:uid="{00000000-0005-0000-0000-0000513E0000}"/>
    <cellStyle name="Bemærk! 2 2 3 3 4" xfId="10840" xr:uid="{00000000-0005-0000-0000-0000523E0000}"/>
    <cellStyle name="Bemærk! 2 2 3 3 5" xfId="28274" xr:uid="{00000000-0005-0000-0000-0000533E0000}"/>
    <cellStyle name="Bemærk! 2 2 3 3 6" xfId="29193" xr:uid="{00000000-0005-0000-0000-0000543E0000}"/>
    <cellStyle name="Bemærk! 2 2 3 4" xfId="712" xr:uid="{00000000-0005-0000-0000-0000553E0000}"/>
    <cellStyle name="Bemærk! 2 2 3 4 2" xfId="3499" xr:uid="{00000000-0005-0000-0000-0000563E0000}"/>
    <cellStyle name="Bemærk! 2 2 3 4 2 2" xfId="7893" xr:uid="{00000000-0005-0000-0000-0000573E0000}"/>
    <cellStyle name="Bemærk! 2 2 3 4 2 2 2" xfId="16714" xr:uid="{00000000-0005-0000-0000-0000583E0000}"/>
    <cellStyle name="Bemærk! 2 2 3 4 2 3" xfId="12307" xr:uid="{00000000-0005-0000-0000-0000593E0000}"/>
    <cellStyle name="Bemærk! 2 2 3 4 3" xfId="5688" xr:uid="{00000000-0005-0000-0000-00005A3E0000}"/>
    <cellStyle name="Bemærk! 2 2 3 4 3 2" xfId="14509" xr:uid="{00000000-0005-0000-0000-00005B3E0000}"/>
    <cellStyle name="Bemærk! 2 2 3 4 4" xfId="10102" xr:uid="{00000000-0005-0000-0000-00005C3E0000}"/>
    <cellStyle name="Bemærk! 2 2 3 4 5" xfId="28276" xr:uid="{00000000-0005-0000-0000-00005D3E0000}"/>
    <cellStyle name="Bemærk! 2 2 3 4 6" xfId="29195" xr:uid="{00000000-0005-0000-0000-00005E3E0000}"/>
    <cellStyle name="Bemærk! 2 2 3 5" xfId="1057" xr:uid="{00000000-0005-0000-0000-00005F3E0000}"/>
    <cellStyle name="Bemærk! 2 2 3 5 2" xfId="7156" xr:uid="{00000000-0005-0000-0000-0000603E0000}"/>
    <cellStyle name="Bemærk! 2 2 3 5 2 2" xfId="15977" xr:uid="{00000000-0005-0000-0000-0000613E0000}"/>
    <cellStyle name="Bemærk! 2 2 3 5 3" xfId="11570" xr:uid="{00000000-0005-0000-0000-0000623E0000}"/>
    <cellStyle name="Bemærk! 2 2 3 5 4" xfId="28277" xr:uid="{00000000-0005-0000-0000-0000633E0000}"/>
    <cellStyle name="Bemærk! 2 2 3 5 5" xfId="29196" xr:uid="{00000000-0005-0000-0000-0000643E0000}"/>
    <cellStyle name="Bemærk! 2 2 3 6" xfId="4951" xr:uid="{00000000-0005-0000-0000-0000653E0000}"/>
    <cellStyle name="Bemærk! 2 2 3 6 2" xfId="13772" xr:uid="{00000000-0005-0000-0000-0000663E0000}"/>
    <cellStyle name="Bemærk! 2 2 3 7" xfId="9365" xr:uid="{00000000-0005-0000-0000-0000673E0000}"/>
    <cellStyle name="Bemærk! 2 2 3 8" xfId="28269" xr:uid="{00000000-0005-0000-0000-0000683E0000}"/>
    <cellStyle name="Bemærk! 2 2 3 9" xfId="29188" xr:uid="{00000000-0005-0000-0000-0000693E0000}"/>
    <cellStyle name="Bemærk! 2 2 4" xfId="185" xr:uid="{00000000-0005-0000-0000-00006A3E0000}"/>
    <cellStyle name="Bemærk! 2 2 4 2" xfId="392" xr:uid="{00000000-0005-0000-0000-00006B3E0000}"/>
    <cellStyle name="Bemærk! 2 2 4 2 2" xfId="885" xr:uid="{00000000-0005-0000-0000-00006C3E0000}"/>
    <cellStyle name="Bemærk! 2 2 4 2 2 2" xfId="8815" xr:uid="{00000000-0005-0000-0000-00006D3E0000}"/>
    <cellStyle name="Bemærk! 2 2 4 2 2 2 2" xfId="17636" xr:uid="{00000000-0005-0000-0000-00006E3E0000}"/>
    <cellStyle name="Bemærk! 2 2 4 2 2 3" xfId="13229" xr:uid="{00000000-0005-0000-0000-00006F3E0000}"/>
    <cellStyle name="Bemærk! 2 2 4 2 2 4" xfId="28280" xr:uid="{00000000-0005-0000-0000-0000703E0000}"/>
    <cellStyle name="Bemærk! 2 2 4 2 2 5" xfId="29199" xr:uid="{00000000-0005-0000-0000-0000713E0000}"/>
    <cellStyle name="Bemærk! 2 2 4 2 3" xfId="6610" xr:uid="{00000000-0005-0000-0000-0000723E0000}"/>
    <cellStyle name="Bemærk! 2 2 4 2 3 2" xfId="15431" xr:uid="{00000000-0005-0000-0000-0000733E0000}"/>
    <cellStyle name="Bemærk! 2 2 4 2 4" xfId="11024" xr:uid="{00000000-0005-0000-0000-0000743E0000}"/>
    <cellStyle name="Bemærk! 2 2 4 2 5" xfId="28279" xr:uid="{00000000-0005-0000-0000-0000753E0000}"/>
    <cellStyle name="Bemærk! 2 2 4 2 6" xfId="29198" xr:uid="{00000000-0005-0000-0000-0000763E0000}"/>
    <cellStyle name="Bemærk! 2 2 4 3" xfId="714" xr:uid="{00000000-0005-0000-0000-0000773E0000}"/>
    <cellStyle name="Bemærk! 2 2 4 3 2" xfId="3683" xr:uid="{00000000-0005-0000-0000-0000783E0000}"/>
    <cellStyle name="Bemærk! 2 2 4 3 2 2" xfId="8077" xr:uid="{00000000-0005-0000-0000-0000793E0000}"/>
    <cellStyle name="Bemærk! 2 2 4 3 2 2 2" xfId="16898" xr:uid="{00000000-0005-0000-0000-00007A3E0000}"/>
    <cellStyle name="Bemærk! 2 2 4 3 2 3" xfId="12491" xr:uid="{00000000-0005-0000-0000-00007B3E0000}"/>
    <cellStyle name="Bemærk! 2 2 4 3 3" xfId="5872" xr:uid="{00000000-0005-0000-0000-00007C3E0000}"/>
    <cellStyle name="Bemærk! 2 2 4 3 3 2" xfId="14693" xr:uid="{00000000-0005-0000-0000-00007D3E0000}"/>
    <cellStyle name="Bemærk! 2 2 4 3 4" xfId="10286" xr:uid="{00000000-0005-0000-0000-00007E3E0000}"/>
    <cellStyle name="Bemærk! 2 2 4 3 5" xfId="28281" xr:uid="{00000000-0005-0000-0000-00007F3E0000}"/>
    <cellStyle name="Bemærk! 2 2 4 3 6" xfId="29200" xr:uid="{00000000-0005-0000-0000-0000803E0000}"/>
    <cellStyle name="Bemærk! 2 2 4 4" xfId="2946" xr:uid="{00000000-0005-0000-0000-0000813E0000}"/>
    <cellStyle name="Bemærk! 2 2 4 4 2" xfId="7340" xr:uid="{00000000-0005-0000-0000-0000823E0000}"/>
    <cellStyle name="Bemærk! 2 2 4 4 2 2" xfId="16161" xr:uid="{00000000-0005-0000-0000-0000833E0000}"/>
    <cellStyle name="Bemærk! 2 2 4 4 3" xfId="11754" xr:uid="{00000000-0005-0000-0000-0000843E0000}"/>
    <cellStyle name="Bemærk! 2 2 4 5" xfId="5135" xr:uid="{00000000-0005-0000-0000-0000853E0000}"/>
    <cellStyle name="Bemærk! 2 2 4 5 2" xfId="13956" xr:uid="{00000000-0005-0000-0000-0000863E0000}"/>
    <cellStyle name="Bemærk! 2 2 4 6" xfId="9549" xr:uid="{00000000-0005-0000-0000-0000873E0000}"/>
    <cellStyle name="Bemærk! 2 2 4 7" xfId="28278" xr:uid="{00000000-0005-0000-0000-0000883E0000}"/>
    <cellStyle name="Bemærk! 2 2 4 8" xfId="29197" xr:uid="{00000000-0005-0000-0000-0000893E0000}"/>
    <cellStyle name="Bemærk! 2 2 5" xfId="299" xr:uid="{00000000-0005-0000-0000-00008A3E0000}"/>
    <cellStyle name="Bemærk! 2 2 5 2" xfId="792" xr:uid="{00000000-0005-0000-0000-00008B3E0000}"/>
    <cellStyle name="Bemærk! 2 2 5 2 2" xfId="8446" xr:uid="{00000000-0005-0000-0000-00008C3E0000}"/>
    <cellStyle name="Bemærk! 2 2 5 2 2 2" xfId="17267" xr:uid="{00000000-0005-0000-0000-00008D3E0000}"/>
    <cellStyle name="Bemærk! 2 2 5 2 3" xfId="12860" xr:uid="{00000000-0005-0000-0000-00008E3E0000}"/>
    <cellStyle name="Bemærk! 2 2 5 2 4" xfId="28283" xr:uid="{00000000-0005-0000-0000-00008F3E0000}"/>
    <cellStyle name="Bemærk! 2 2 5 2 5" xfId="29202" xr:uid="{00000000-0005-0000-0000-0000903E0000}"/>
    <cellStyle name="Bemærk! 2 2 5 3" xfId="6241" xr:uid="{00000000-0005-0000-0000-0000913E0000}"/>
    <cellStyle name="Bemærk! 2 2 5 3 2" xfId="15062" xr:uid="{00000000-0005-0000-0000-0000923E0000}"/>
    <cellStyle name="Bemærk! 2 2 5 4" xfId="10655" xr:uid="{00000000-0005-0000-0000-0000933E0000}"/>
    <cellStyle name="Bemærk! 2 2 5 5" xfId="28282" xr:uid="{00000000-0005-0000-0000-0000943E0000}"/>
    <cellStyle name="Bemærk! 2 2 5 6" xfId="29201" xr:uid="{00000000-0005-0000-0000-0000953E0000}"/>
    <cellStyle name="Bemærk! 2 2 6" xfId="709" xr:uid="{00000000-0005-0000-0000-0000963E0000}"/>
    <cellStyle name="Bemærk! 2 2 6 2" xfId="3314" xr:uid="{00000000-0005-0000-0000-0000973E0000}"/>
    <cellStyle name="Bemærk! 2 2 6 2 2" xfId="7708" xr:uid="{00000000-0005-0000-0000-0000983E0000}"/>
    <cellStyle name="Bemærk! 2 2 6 2 2 2" xfId="16529" xr:uid="{00000000-0005-0000-0000-0000993E0000}"/>
    <cellStyle name="Bemærk! 2 2 6 2 3" xfId="12122" xr:uid="{00000000-0005-0000-0000-00009A3E0000}"/>
    <cellStyle name="Bemærk! 2 2 6 3" xfId="5503" xr:uid="{00000000-0005-0000-0000-00009B3E0000}"/>
    <cellStyle name="Bemærk! 2 2 6 3 2" xfId="14324" xr:uid="{00000000-0005-0000-0000-00009C3E0000}"/>
    <cellStyle name="Bemærk! 2 2 6 4" xfId="9917" xr:uid="{00000000-0005-0000-0000-00009D3E0000}"/>
    <cellStyle name="Bemærk! 2 2 6 5" xfId="28284" xr:uid="{00000000-0005-0000-0000-00009E3E0000}"/>
    <cellStyle name="Bemærk! 2 2 6 6" xfId="29203" xr:uid="{00000000-0005-0000-0000-00009F3E0000}"/>
    <cellStyle name="Bemærk! 2 2 7" xfId="997" xr:uid="{00000000-0005-0000-0000-0000A03E0000}"/>
    <cellStyle name="Bemærk! 2 2 7 2" xfId="6971" xr:uid="{00000000-0005-0000-0000-0000A13E0000}"/>
    <cellStyle name="Bemærk! 2 2 7 2 2" xfId="15792" xr:uid="{00000000-0005-0000-0000-0000A23E0000}"/>
    <cellStyle name="Bemærk! 2 2 7 3" xfId="11385" xr:uid="{00000000-0005-0000-0000-0000A33E0000}"/>
    <cellStyle name="Bemærk! 2 2 7 4" xfId="28285" xr:uid="{00000000-0005-0000-0000-0000A43E0000}"/>
    <cellStyle name="Bemærk! 2 2 7 5" xfId="29204" xr:uid="{00000000-0005-0000-0000-0000A53E0000}"/>
    <cellStyle name="Bemærk! 2 2 8" xfId="4766" xr:uid="{00000000-0005-0000-0000-0000A63E0000}"/>
    <cellStyle name="Bemærk! 2 2 8 2" xfId="13587" xr:uid="{00000000-0005-0000-0000-0000A73E0000}"/>
    <cellStyle name="Bemærk! 2 2 9" xfId="9180" xr:uid="{00000000-0005-0000-0000-0000A83E0000}"/>
    <cellStyle name="Bemærk! 2 3" xfId="102" xr:uid="{00000000-0005-0000-0000-0000A93E0000}"/>
    <cellStyle name="Bemærk! 2 3 10" xfId="27199" xr:uid="{00000000-0005-0000-0000-0000AA3E0000}"/>
    <cellStyle name="Bemærk! 2 3 11" xfId="27192" xr:uid="{00000000-0005-0000-0000-0000AB3E0000}"/>
    <cellStyle name="Bemærk! 2 3 12" xfId="27166" xr:uid="{00000000-0005-0000-0000-0000AC3E0000}"/>
    <cellStyle name="Bemærk! 2 3 13" xfId="25141" xr:uid="{00000000-0005-0000-0000-0000AD3E0000}"/>
    <cellStyle name="Bemærk! 2 3 14" xfId="28286" xr:uid="{00000000-0005-0000-0000-0000AE3E0000}"/>
    <cellStyle name="Bemærk! 2 3 15" xfId="29205" xr:uid="{00000000-0005-0000-0000-0000AF3E0000}"/>
    <cellStyle name="Bemærk! 2 3 2" xfId="201" xr:uid="{00000000-0005-0000-0000-0000B03E0000}"/>
    <cellStyle name="Bemærk! 2 3 2 2" xfId="408" xr:uid="{00000000-0005-0000-0000-0000B13E0000}"/>
    <cellStyle name="Bemærk! 2 3 2 2 2" xfId="901" xr:uid="{00000000-0005-0000-0000-0000B23E0000}"/>
    <cellStyle name="Bemærk! 2 3 2 2 2 2" xfId="28289" xr:uid="{00000000-0005-0000-0000-0000B33E0000}"/>
    <cellStyle name="Bemærk! 2 3 2 2 2 3" xfId="29208" xr:uid="{00000000-0005-0000-0000-0000B43E0000}"/>
    <cellStyle name="Bemærk! 2 3 2 2 3" xfId="18222" xr:uid="{00000000-0005-0000-0000-0000B53E0000}"/>
    <cellStyle name="Bemærk! 2 3 2 2 4" xfId="28288" xr:uid="{00000000-0005-0000-0000-0000B63E0000}"/>
    <cellStyle name="Bemærk! 2 3 2 2 5" xfId="29207" xr:uid="{00000000-0005-0000-0000-0000B73E0000}"/>
    <cellStyle name="Bemærk! 2 3 2 3" xfId="716" xr:uid="{00000000-0005-0000-0000-0000B83E0000}"/>
    <cellStyle name="Bemærk! 2 3 2 3 10" xfId="27168" xr:uid="{00000000-0005-0000-0000-0000B93E0000}"/>
    <cellStyle name="Bemærk! 2 3 2 3 11" xfId="28290" xr:uid="{00000000-0005-0000-0000-0000BA3E0000}"/>
    <cellStyle name="Bemærk! 2 3 2 3 12" xfId="29209" xr:uid="{00000000-0005-0000-0000-0000BB3E0000}"/>
    <cellStyle name="Bemærk! 2 3 2 3 2" xfId="18345" xr:uid="{00000000-0005-0000-0000-0000BC3E0000}"/>
    <cellStyle name="Bemærk! 2 3 2 3 3" xfId="18346" xr:uid="{00000000-0005-0000-0000-0000BD3E0000}"/>
    <cellStyle name="Bemærk! 2 3 2 3 3 2" xfId="18502" xr:uid="{00000000-0005-0000-0000-0000BE3E0000}"/>
    <cellStyle name="Bemærk! 2 3 2 3 3 2 2" xfId="27143" xr:uid="{00000000-0005-0000-0000-0000BF3E0000}"/>
    <cellStyle name="Bemærk! 2 3 2 3 3 2 3" xfId="26319" xr:uid="{00000000-0005-0000-0000-0000C03E0000}"/>
    <cellStyle name="Bemærk! 2 3 2 3 3 2 4" xfId="27222" xr:uid="{00000000-0005-0000-0000-0000C13E0000}"/>
    <cellStyle name="Bemærk! 2 3 2 3 3 2 5" xfId="27197" xr:uid="{00000000-0005-0000-0000-0000C23E0000}"/>
    <cellStyle name="Bemærk! 2 3 2 3 3 2 6" xfId="27151" xr:uid="{00000000-0005-0000-0000-0000C33E0000}"/>
    <cellStyle name="Bemærk! 2 3 2 3 3 2 7" xfId="27167" xr:uid="{00000000-0005-0000-0000-0000C43E0000}"/>
    <cellStyle name="Bemærk! 2 3 2 3 3 3" xfId="27157" xr:uid="{00000000-0005-0000-0000-0000C53E0000}"/>
    <cellStyle name="Bemærk! 2 3 2 3 3 4" xfId="27094" xr:uid="{00000000-0005-0000-0000-0000C63E0000}"/>
    <cellStyle name="Bemærk! 2 3 2 3 3 5" xfId="27224" xr:uid="{00000000-0005-0000-0000-0000C73E0000}"/>
    <cellStyle name="Bemærk! 2 3 2 3 3 6" xfId="27170" xr:uid="{00000000-0005-0000-0000-0000C83E0000}"/>
    <cellStyle name="Bemærk! 2 3 2 3 3 7" xfId="27218" xr:uid="{00000000-0005-0000-0000-0000C93E0000}"/>
    <cellStyle name="Bemærk! 2 3 2 3 3 8" xfId="27158" xr:uid="{00000000-0005-0000-0000-0000CA3E0000}"/>
    <cellStyle name="Bemærk! 2 3 2 3 4" xfId="18344" xr:uid="{00000000-0005-0000-0000-0000CB3E0000}"/>
    <cellStyle name="Bemærk! 2 3 2 3 5" xfId="27138" xr:uid="{00000000-0005-0000-0000-0000CC3E0000}"/>
    <cellStyle name="Bemærk! 2 3 2 3 6" xfId="27095" xr:uid="{00000000-0005-0000-0000-0000CD3E0000}"/>
    <cellStyle name="Bemærk! 2 3 2 3 7" xfId="27213" xr:uid="{00000000-0005-0000-0000-0000CE3E0000}"/>
    <cellStyle name="Bemærk! 2 3 2 3 8" xfId="27221" xr:uid="{00000000-0005-0000-0000-0000CF3E0000}"/>
    <cellStyle name="Bemærk! 2 3 2 3 9" xfId="27206" xr:uid="{00000000-0005-0000-0000-0000D03E0000}"/>
    <cellStyle name="Bemærk! 2 3 2 4" xfId="18221" xr:uid="{00000000-0005-0000-0000-0000D13E0000}"/>
    <cellStyle name="Bemærk! 2 3 2 5" xfId="28287" xr:uid="{00000000-0005-0000-0000-0000D23E0000}"/>
    <cellStyle name="Bemærk! 2 3 2 6" xfId="29206" xr:uid="{00000000-0005-0000-0000-0000D33E0000}"/>
    <cellStyle name="Bemærk! 2 3 3" xfId="315" xr:uid="{00000000-0005-0000-0000-0000D43E0000}"/>
    <cellStyle name="Bemærk! 2 3 3 2" xfId="808" xr:uid="{00000000-0005-0000-0000-0000D53E0000}"/>
    <cellStyle name="Bemærk! 2 3 3 2 2" xfId="28292" xr:uid="{00000000-0005-0000-0000-0000D63E0000}"/>
    <cellStyle name="Bemærk! 2 3 3 2 3" xfId="29211" xr:uid="{00000000-0005-0000-0000-0000D73E0000}"/>
    <cellStyle name="Bemærk! 2 3 3 3" xfId="18223" xr:uid="{00000000-0005-0000-0000-0000D83E0000}"/>
    <cellStyle name="Bemærk! 2 3 3 4" xfId="28291" xr:uid="{00000000-0005-0000-0000-0000D93E0000}"/>
    <cellStyle name="Bemærk! 2 3 3 5" xfId="29210" xr:uid="{00000000-0005-0000-0000-0000DA3E0000}"/>
    <cellStyle name="Bemærk! 2 3 4" xfId="715" xr:uid="{00000000-0005-0000-0000-0000DB3E0000}"/>
    <cellStyle name="Bemærk! 2 3 4 10" xfId="26973" xr:uid="{00000000-0005-0000-0000-0000DC3E0000}"/>
    <cellStyle name="Bemærk! 2 3 4 11" xfId="28293" xr:uid="{00000000-0005-0000-0000-0000DD3E0000}"/>
    <cellStyle name="Bemærk! 2 3 4 12" xfId="29212" xr:uid="{00000000-0005-0000-0000-0000DE3E0000}"/>
    <cellStyle name="Bemærk! 2 3 4 2" xfId="18348" xr:uid="{00000000-0005-0000-0000-0000DF3E0000}"/>
    <cellStyle name="Bemærk! 2 3 4 3" xfId="18349" xr:uid="{00000000-0005-0000-0000-0000E03E0000}"/>
    <cellStyle name="Bemærk! 2 3 4 3 2" xfId="18503" xr:uid="{00000000-0005-0000-0000-0000E13E0000}"/>
    <cellStyle name="Bemærk! 2 3 4 3 2 2" xfId="27140" xr:uid="{00000000-0005-0000-0000-0000E23E0000}"/>
    <cellStyle name="Bemærk! 2 3 4 3 2 3" xfId="27225" xr:uid="{00000000-0005-0000-0000-0000E33E0000}"/>
    <cellStyle name="Bemærk! 2 3 4 3 2 4" xfId="27098" xr:uid="{00000000-0005-0000-0000-0000E43E0000}"/>
    <cellStyle name="Bemærk! 2 3 4 3 2 5" xfId="27205" xr:uid="{00000000-0005-0000-0000-0000E53E0000}"/>
    <cellStyle name="Bemærk! 2 3 4 3 2 6" xfId="27139" xr:uid="{00000000-0005-0000-0000-0000E63E0000}"/>
    <cellStyle name="Bemærk! 2 3 4 3 2 7" xfId="27215" xr:uid="{00000000-0005-0000-0000-0000E73E0000}"/>
    <cellStyle name="Bemærk! 2 3 4 3 3" xfId="27181" xr:uid="{00000000-0005-0000-0000-0000E83E0000}"/>
    <cellStyle name="Bemærk! 2 3 4 3 4" xfId="27133" xr:uid="{00000000-0005-0000-0000-0000E93E0000}"/>
    <cellStyle name="Bemærk! 2 3 4 3 5" xfId="27201" xr:uid="{00000000-0005-0000-0000-0000EA3E0000}"/>
    <cellStyle name="Bemærk! 2 3 4 3 6" xfId="27155" xr:uid="{00000000-0005-0000-0000-0000EB3E0000}"/>
    <cellStyle name="Bemærk! 2 3 4 3 7" xfId="27136" xr:uid="{00000000-0005-0000-0000-0000EC3E0000}"/>
    <cellStyle name="Bemærk! 2 3 4 3 8" xfId="26206" xr:uid="{00000000-0005-0000-0000-0000ED3E0000}"/>
    <cellStyle name="Bemærk! 2 3 4 4" xfId="18347" xr:uid="{00000000-0005-0000-0000-0000EE3E0000}"/>
    <cellStyle name="Bemærk! 2 3 4 5" xfId="27203" xr:uid="{00000000-0005-0000-0000-0000EF3E0000}"/>
    <cellStyle name="Bemærk! 2 3 4 6" xfId="27163" xr:uid="{00000000-0005-0000-0000-0000F03E0000}"/>
    <cellStyle name="Bemærk! 2 3 4 7" xfId="27208" xr:uid="{00000000-0005-0000-0000-0000F13E0000}"/>
    <cellStyle name="Bemærk! 2 3 4 8" xfId="27159" xr:uid="{00000000-0005-0000-0000-0000F23E0000}"/>
    <cellStyle name="Bemærk! 2 3 4 9" xfId="27127" xr:uid="{00000000-0005-0000-0000-0000F33E0000}"/>
    <cellStyle name="Bemærk! 2 3 5" xfId="1013" xr:uid="{00000000-0005-0000-0000-0000F43E0000}"/>
    <cellStyle name="Bemærk! 2 3 5 2" xfId="18224" xr:uid="{00000000-0005-0000-0000-0000F53E0000}"/>
    <cellStyle name="Bemærk! 2 3 5 3" xfId="28294" xr:uid="{00000000-0005-0000-0000-0000F63E0000}"/>
    <cellStyle name="Bemærk! 2 3 5 4" xfId="29213" xr:uid="{00000000-0005-0000-0000-0000F73E0000}"/>
    <cellStyle name="Bemærk! 2 3 6" xfId="1170" xr:uid="{00000000-0005-0000-0000-0000F83E0000}"/>
    <cellStyle name="Bemærk! 2 3 7" xfId="18350" xr:uid="{00000000-0005-0000-0000-0000F93E0000}"/>
    <cellStyle name="Bemærk! 2 3 7 2" xfId="18504" xr:uid="{00000000-0005-0000-0000-0000FA3E0000}"/>
    <cellStyle name="Bemærk! 2 3 7 2 2" xfId="27216" xr:uid="{00000000-0005-0000-0000-0000FB3E0000}"/>
    <cellStyle name="Bemærk! 2 3 7 2 3" xfId="27179" xr:uid="{00000000-0005-0000-0000-0000FC3E0000}"/>
    <cellStyle name="Bemærk! 2 3 7 2 4" xfId="27156" xr:uid="{00000000-0005-0000-0000-0000FD3E0000}"/>
    <cellStyle name="Bemærk! 2 3 7 2 5" xfId="27189" xr:uid="{00000000-0005-0000-0000-0000FE3E0000}"/>
    <cellStyle name="Bemærk! 2 3 7 2 6" xfId="27211" xr:uid="{00000000-0005-0000-0000-0000FF3E0000}"/>
    <cellStyle name="Bemærk! 2 3 7 2 7" xfId="27187" xr:uid="{00000000-0005-0000-0000-0000003F0000}"/>
    <cellStyle name="Bemærk! 2 3 7 3" xfId="27214" xr:uid="{00000000-0005-0000-0000-0000013F0000}"/>
    <cellStyle name="Bemærk! 2 3 7 4" xfId="27130" xr:uid="{00000000-0005-0000-0000-0000023F0000}"/>
    <cellStyle name="Bemærk! 2 3 7 5" xfId="26686" xr:uid="{00000000-0005-0000-0000-0000033F0000}"/>
    <cellStyle name="Bemærk! 2 3 7 6" xfId="27152" xr:uid="{00000000-0005-0000-0000-0000043F0000}"/>
    <cellStyle name="Bemærk! 2 3 7 7" xfId="27202" xr:uid="{00000000-0005-0000-0000-0000053F0000}"/>
    <cellStyle name="Bemærk! 2 3 7 8" xfId="27195" xr:uid="{00000000-0005-0000-0000-0000063F0000}"/>
    <cellStyle name="Bemærk! 2 3 8" xfId="27223" xr:uid="{00000000-0005-0000-0000-0000073F0000}"/>
    <cellStyle name="Bemærk! 2 3 9" xfId="27177" xr:uid="{00000000-0005-0000-0000-0000083F0000}"/>
    <cellStyle name="Bemærk! 2 3_Fordelinger" xfId="18225" xr:uid="{00000000-0005-0000-0000-0000093F0000}"/>
    <cellStyle name="Bemærk! 2 4" xfId="132" xr:uid="{00000000-0005-0000-0000-00000A3F0000}"/>
    <cellStyle name="Bemærk! 2 4 10" xfId="27182" xr:uid="{00000000-0005-0000-0000-00000B3F0000}"/>
    <cellStyle name="Bemærk! 2 4 11" xfId="28295" xr:uid="{00000000-0005-0000-0000-00000C3F0000}"/>
    <cellStyle name="Bemærk! 2 4 12" xfId="29214" xr:uid="{00000000-0005-0000-0000-00000D3F0000}"/>
    <cellStyle name="Bemærk! 2 4 2" xfId="231" xr:uid="{00000000-0005-0000-0000-00000E3F0000}"/>
    <cellStyle name="Bemærk! 2 4 2 10" xfId="29215" xr:uid="{00000000-0005-0000-0000-00000F3F0000}"/>
    <cellStyle name="Bemærk! 2 4 2 2" xfId="438" xr:uid="{00000000-0005-0000-0000-0000103F0000}"/>
    <cellStyle name="Bemærk! 2 4 2 2 2" xfId="931" xr:uid="{00000000-0005-0000-0000-0000113F0000}"/>
    <cellStyle name="Bemærk! 2 4 2 2 2 2" xfId="4622" xr:uid="{00000000-0005-0000-0000-0000123F0000}"/>
    <cellStyle name="Bemærk! 2 4 2 2 2 2 2" xfId="9045" xr:uid="{00000000-0005-0000-0000-0000133F0000}"/>
    <cellStyle name="Bemærk! 2 4 2 2 2 2 2 2" xfId="17866" xr:uid="{00000000-0005-0000-0000-0000143F0000}"/>
    <cellStyle name="Bemærk! 2 4 2 2 2 2 3" xfId="13459" xr:uid="{00000000-0005-0000-0000-0000153F0000}"/>
    <cellStyle name="Bemærk! 2 4 2 2 2 3" xfId="6840" xr:uid="{00000000-0005-0000-0000-0000163F0000}"/>
    <cellStyle name="Bemærk! 2 4 2 2 2 3 2" xfId="15661" xr:uid="{00000000-0005-0000-0000-0000173F0000}"/>
    <cellStyle name="Bemærk! 2 4 2 2 2 4" xfId="11254" xr:uid="{00000000-0005-0000-0000-0000183F0000}"/>
    <cellStyle name="Bemærk! 2 4 2 2 2 5" xfId="28298" xr:uid="{00000000-0005-0000-0000-0000193F0000}"/>
    <cellStyle name="Bemærk! 2 4 2 2 2 6" xfId="29217" xr:uid="{00000000-0005-0000-0000-00001A3F0000}"/>
    <cellStyle name="Bemærk! 2 4 2 2 3" xfId="1956" xr:uid="{00000000-0005-0000-0000-00001B3F0000}"/>
    <cellStyle name="Bemærk! 2 4 2 2 3 2" xfId="3913" xr:uid="{00000000-0005-0000-0000-00001C3F0000}"/>
    <cellStyle name="Bemærk! 2 4 2 2 3 2 2" xfId="8307" xr:uid="{00000000-0005-0000-0000-00001D3F0000}"/>
    <cellStyle name="Bemærk! 2 4 2 2 3 2 2 2" xfId="17128" xr:uid="{00000000-0005-0000-0000-00001E3F0000}"/>
    <cellStyle name="Bemærk! 2 4 2 2 3 2 3" xfId="12721" xr:uid="{00000000-0005-0000-0000-00001F3F0000}"/>
    <cellStyle name="Bemærk! 2 4 2 2 3 3" xfId="6102" xr:uid="{00000000-0005-0000-0000-0000203F0000}"/>
    <cellStyle name="Bemærk! 2 4 2 2 3 3 2" xfId="14923" xr:uid="{00000000-0005-0000-0000-0000213F0000}"/>
    <cellStyle name="Bemærk! 2 4 2 2 3 4" xfId="10516" xr:uid="{00000000-0005-0000-0000-0000223F0000}"/>
    <cellStyle name="Bemærk! 2 4 2 2 4" xfId="3176" xr:uid="{00000000-0005-0000-0000-0000233F0000}"/>
    <cellStyle name="Bemærk! 2 4 2 2 4 2" xfId="7570" xr:uid="{00000000-0005-0000-0000-0000243F0000}"/>
    <cellStyle name="Bemærk! 2 4 2 2 4 2 2" xfId="16391" xr:uid="{00000000-0005-0000-0000-0000253F0000}"/>
    <cellStyle name="Bemærk! 2 4 2 2 4 3" xfId="11984" xr:uid="{00000000-0005-0000-0000-0000263F0000}"/>
    <cellStyle name="Bemærk! 2 4 2 2 5" xfId="5365" xr:uid="{00000000-0005-0000-0000-0000273F0000}"/>
    <cellStyle name="Bemærk! 2 4 2 2 5 2" xfId="14186" xr:uid="{00000000-0005-0000-0000-0000283F0000}"/>
    <cellStyle name="Bemærk! 2 4 2 2 6" xfId="9779" xr:uid="{00000000-0005-0000-0000-0000293F0000}"/>
    <cellStyle name="Bemærk! 2 4 2 2 7" xfId="28297" xr:uid="{00000000-0005-0000-0000-00002A3F0000}"/>
    <cellStyle name="Bemærk! 2 4 2 2 8" xfId="29216" xr:uid="{00000000-0005-0000-0000-00002B3F0000}"/>
    <cellStyle name="Bemærk! 2 4 2 3" xfId="718" xr:uid="{00000000-0005-0000-0000-00002C3F0000}"/>
    <cellStyle name="Bemærk! 2 4 2 3 2" xfId="4267" xr:uid="{00000000-0005-0000-0000-00002D3F0000}"/>
    <cellStyle name="Bemærk! 2 4 2 3 2 2" xfId="8676" xr:uid="{00000000-0005-0000-0000-00002E3F0000}"/>
    <cellStyle name="Bemærk! 2 4 2 3 2 2 2" xfId="17497" xr:uid="{00000000-0005-0000-0000-00002F3F0000}"/>
    <cellStyle name="Bemærk! 2 4 2 3 2 3" xfId="13090" xr:uid="{00000000-0005-0000-0000-0000303F0000}"/>
    <cellStyle name="Bemærk! 2 4 2 3 3" xfId="6471" xr:uid="{00000000-0005-0000-0000-0000313F0000}"/>
    <cellStyle name="Bemærk! 2 4 2 3 3 2" xfId="15292" xr:uid="{00000000-0005-0000-0000-0000323F0000}"/>
    <cellStyle name="Bemærk! 2 4 2 3 4" xfId="10885" xr:uid="{00000000-0005-0000-0000-0000333F0000}"/>
    <cellStyle name="Bemærk! 2 4 2 3 5" xfId="28299" xr:uid="{00000000-0005-0000-0000-0000343F0000}"/>
    <cellStyle name="Bemærk! 2 4 2 3 6" xfId="29218" xr:uid="{00000000-0005-0000-0000-0000353F0000}"/>
    <cellStyle name="Bemærk! 2 4 2 4" xfId="1601" xr:uid="{00000000-0005-0000-0000-0000363F0000}"/>
    <cellStyle name="Bemærk! 2 4 2 4 2" xfId="3544" xr:uid="{00000000-0005-0000-0000-0000373F0000}"/>
    <cellStyle name="Bemærk! 2 4 2 4 2 2" xfId="7938" xr:uid="{00000000-0005-0000-0000-0000383F0000}"/>
    <cellStyle name="Bemærk! 2 4 2 4 2 2 2" xfId="16759" xr:uid="{00000000-0005-0000-0000-0000393F0000}"/>
    <cellStyle name="Bemærk! 2 4 2 4 2 3" xfId="12352" xr:uid="{00000000-0005-0000-0000-00003A3F0000}"/>
    <cellStyle name="Bemærk! 2 4 2 4 3" xfId="5733" xr:uid="{00000000-0005-0000-0000-00003B3F0000}"/>
    <cellStyle name="Bemærk! 2 4 2 4 3 2" xfId="14554" xr:uid="{00000000-0005-0000-0000-00003C3F0000}"/>
    <cellStyle name="Bemærk! 2 4 2 4 4" xfId="10147" xr:uid="{00000000-0005-0000-0000-00003D3F0000}"/>
    <cellStyle name="Bemærk! 2 4 2 5" xfId="2807" xr:uid="{00000000-0005-0000-0000-00003E3F0000}"/>
    <cellStyle name="Bemærk! 2 4 2 5 2" xfId="7201" xr:uid="{00000000-0005-0000-0000-00003F3F0000}"/>
    <cellStyle name="Bemærk! 2 4 2 5 2 2" xfId="16022" xr:uid="{00000000-0005-0000-0000-0000403F0000}"/>
    <cellStyle name="Bemærk! 2 4 2 5 3" xfId="11615" xr:uid="{00000000-0005-0000-0000-0000413F0000}"/>
    <cellStyle name="Bemærk! 2 4 2 6" xfId="4996" xr:uid="{00000000-0005-0000-0000-0000423F0000}"/>
    <cellStyle name="Bemærk! 2 4 2 6 2" xfId="13817" xr:uid="{00000000-0005-0000-0000-0000433F0000}"/>
    <cellStyle name="Bemærk! 2 4 2 7" xfId="9410" xr:uid="{00000000-0005-0000-0000-0000443F0000}"/>
    <cellStyle name="Bemærk! 2 4 2 8" xfId="18352" xr:uid="{00000000-0005-0000-0000-0000453F0000}"/>
    <cellStyle name="Bemærk! 2 4 2 9" xfId="28296" xr:uid="{00000000-0005-0000-0000-0000463F0000}"/>
    <cellStyle name="Bemærk! 2 4 3" xfId="345" xr:uid="{00000000-0005-0000-0000-0000473F0000}"/>
    <cellStyle name="Bemærk! 2 4 3 10" xfId="29219" xr:uid="{00000000-0005-0000-0000-0000483F0000}"/>
    <cellStyle name="Bemærk! 2 4 3 2" xfId="838" xr:uid="{00000000-0005-0000-0000-0000493F0000}"/>
    <cellStyle name="Bemærk! 2 4 3 2 2" xfId="4438" xr:uid="{00000000-0005-0000-0000-00004A3F0000}"/>
    <cellStyle name="Bemærk! 2 4 3 2 2 2" xfId="8860" xr:uid="{00000000-0005-0000-0000-00004B3F0000}"/>
    <cellStyle name="Bemærk! 2 4 3 2 2 2 2" xfId="17681" xr:uid="{00000000-0005-0000-0000-00004C3F0000}"/>
    <cellStyle name="Bemærk! 2 4 3 2 2 3" xfId="13274" xr:uid="{00000000-0005-0000-0000-00004D3F0000}"/>
    <cellStyle name="Bemærk! 2 4 3 2 3" xfId="6655" xr:uid="{00000000-0005-0000-0000-00004E3F0000}"/>
    <cellStyle name="Bemærk! 2 4 3 2 3 2" xfId="15476" xr:uid="{00000000-0005-0000-0000-00004F3F0000}"/>
    <cellStyle name="Bemærk! 2 4 3 2 4" xfId="11069" xr:uid="{00000000-0005-0000-0000-0000503F0000}"/>
    <cellStyle name="Bemærk! 2 4 3 2 5" xfId="27200" xr:uid="{00000000-0005-0000-0000-0000513F0000}"/>
    <cellStyle name="Bemærk! 2 4 3 2 6" xfId="27149" xr:uid="{00000000-0005-0000-0000-0000523F0000}"/>
    <cellStyle name="Bemærk! 2 4 3 2 7" xfId="27135" xr:uid="{00000000-0005-0000-0000-0000533F0000}"/>
    <cellStyle name="Bemærk! 2 4 3 2 8" xfId="28301" xr:uid="{00000000-0005-0000-0000-0000543F0000}"/>
    <cellStyle name="Bemærk! 2 4 3 2 9" xfId="29220" xr:uid="{00000000-0005-0000-0000-0000553F0000}"/>
    <cellStyle name="Bemærk! 2 4 3 3" xfId="1772" xr:uid="{00000000-0005-0000-0000-0000563F0000}"/>
    <cellStyle name="Bemærk! 2 4 3 3 2" xfId="3728" xr:uid="{00000000-0005-0000-0000-0000573F0000}"/>
    <cellStyle name="Bemærk! 2 4 3 3 2 2" xfId="8122" xr:uid="{00000000-0005-0000-0000-0000583F0000}"/>
    <cellStyle name="Bemærk! 2 4 3 3 2 2 2" xfId="16943" xr:uid="{00000000-0005-0000-0000-0000593F0000}"/>
    <cellStyle name="Bemærk! 2 4 3 3 2 3" xfId="12536" xr:uid="{00000000-0005-0000-0000-00005A3F0000}"/>
    <cellStyle name="Bemærk! 2 4 3 3 3" xfId="5917" xr:uid="{00000000-0005-0000-0000-00005B3F0000}"/>
    <cellStyle name="Bemærk! 2 4 3 3 3 2" xfId="14738" xr:uid="{00000000-0005-0000-0000-00005C3F0000}"/>
    <cellStyle name="Bemærk! 2 4 3 3 4" xfId="10331" xr:uid="{00000000-0005-0000-0000-00005D3F0000}"/>
    <cellStyle name="Bemærk! 2 4 3 4" xfId="2991" xr:uid="{00000000-0005-0000-0000-00005E3F0000}"/>
    <cellStyle name="Bemærk! 2 4 3 4 2" xfId="7385" xr:uid="{00000000-0005-0000-0000-00005F3F0000}"/>
    <cellStyle name="Bemærk! 2 4 3 4 2 2" xfId="16206" xr:uid="{00000000-0005-0000-0000-0000603F0000}"/>
    <cellStyle name="Bemærk! 2 4 3 4 3" xfId="11799" xr:uid="{00000000-0005-0000-0000-0000613F0000}"/>
    <cellStyle name="Bemærk! 2 4 3 5" xfId="5180" xr:uid="{00000000-0005-0000-0000-0000623F0000}"/>
    <cellStyle name="Bemærk! 2 4 3 5 2" xfId="14001" xr:uid="{00000000-0005-0000-0000-0000633F0000}"/>
    <cellStyle name="Bemærk! 2 4 3 6" xfId="9594" xr:uid="{00000000-0005-0000-0000-0000643F0000}"/>
    <cellStyle name="Bemærk! 2 4 3 7" xfId="27198" xr:uid="{00000000-0005-0000-0000-0000653F0000}"/>
    <cellStyle name="Bemærk! 2 4 3 8" xfId="27196" xr:uid="{00000000-0005-0000-0000-0000663F0000}"/>
    <cellStyle name="Bemærk! 2 4 3 9" xfId="28300" xr:uid="{00000000-0005-0000-0000-0000673F0000}"/>
    <cellStyle name="Bemærk! 2 4 4" xfId="717" xr:uid="{00000000-0005-0000-0000-0000683F0000}"/>
    <cellStyle name="Bemærk! 2 4 4 2" xfId="4083" xr:uid="{00000000-0005-0000-0000-0000693F0000}"/>
    <cellStyle name="Bemærk! 2 4 4 2 2" xfId="8491" xr:uid="{00000000-0005-0000-0000-00006A3F0000}"/>
    <cellStyle name="Bemærk! 2 4 4 2 2 2" xfId="17312" xr:uid="{00000000-0005-0000-0000-00006B3F0000}"/>
    <cellStyle name="Bemærk! 2 4 4 2 3" xfId="12905" xr:uid="{00000000-0005-0000-0000-00006C3F0000}"/>
    <cellStyle name="Bemærk! 2 4 4 3" xfId="6286" xr:uid="{00000000-0005-0000-0000-00006D3F0000}"/>
    <cellStyle name="Bemærk! 2 4 4 3 2" xfId="15107" xr:uid="{00000000-0005-0000-0000-00006E3F0000}"/>
    <cellStyle name="Bemærk! 2 4 4 4" xfId="10700" xr:uid="{00000000-0005-0000-0000-00006F3F0000}"/>
    <cellStyle name="Bemærk! 2 4 4 5" xfId="18351" xr:uid="{00000000-0005-0000-0000-0000703F0000}"/>
    <cellStyle name="Bemærk! 2 4 4 6" xfId="28302" xr:uid="{00000000-0005-0000-0000-0000713F0000}"/>
    <cellStyle name="Bemærk! 2 4 4 7" xfId="29221" xr:uid="{00000000-0005-0000-0000-0000723F0000}"/>
    <cellStyle name="Bemærk! 2 4 5" xfId="1043" xr:uid="{00000000-0005-0000-0000-0000733F0000}"/>
    <cellStyle name="Bemærk! 2 4 5 2" xfId="3359" xr:uid="{00000000-0005-0000-0000-0000743F0000}"/>
    <cellStyle name="Bemærk! 2 4 5 2 2" xfId="7753" xr:uid="{00000000-0005-0000-0000-0000753F0000}"/>
    <cellStyle name="Bemærk! 2 4 5 2 2 2" xfId="16574" xr:uid="{00000000-0005-0000-0000-0000763F0000}"/>
    <cellStyle name="Bemærk! 2 4 5 2 3" xfId="12167" xr:uid="{00000000-0005-0000-0000-0000773F0000}"/>
    <cellStyle name="Bemærk! 2 4 5 3" xfId="5548" xr:uid="{00000000-0005-0000-0000-0000783F0000}"/>
    <cellStyle name="Bemærk! 2 4 5 3 2" xfId="14369" xr:uid="{00000000-0005-0000-0000-0000793F0000}"/>
    <cellStyle name="Bemærk! 2 4 5 4" xfId="9962" xr:uid="{00000000-0005-0000-0000-00007A3F0000}"/>
    <cellStyle name="Bemærk! 2 4 5 5" xfId="28303" xr:uid="{00000000-0005-0000-0000-00007B3F0000}"/>
    <cellStyle name="Bemærk! 2 4 5 6" xfId="29222" xr:uid="{00000000-0005-0000-0000-00007C3F0000}"/>
    <cellStyle name="Bemærk! 2 4 6" xfId="2623" xr:uid="{00000000-0005-0000-0000-00007D3F0000}"/>
    <cellStyle name="Bemærk! 2 4 6 2" xfId="7016" xr:uid="{00000000-0005-0000-0000-00007E3F0000}"/>
    <cellStyle name="Bemærk! 2 4 6 2 2" xfId="15837" xr:uid="{00000000-0005-0000-0000-00007F3F0000}"/>
    <cellStyle name="Bemærk! 2 4 6 3" xfId="11430" xr:uid="{00000000-0005-0000-0000-0000803F0000}"/>
    <cellStyle name="Bemærk! 2 4 7" xfId="4811" xr:uid="{00000000-0005-0000-0000-0000813F0000}"/>
    <cellStyle name="Bemærk! 2 4 7 2" xfId="13632" xr:uid="{00000000-0005-0000-0000-0000823F0000}"/>
    <cellStyle name="Bemærk! 2 4 8" xfId="9225" xr:uid="{00000000-0005-0000-0000-0000833F0000}"/>
    <cellStyle name="Bemærk! 2 4 9" xfId="27144" xr:uid="{00000000-0005-0000-0000-0000843F0000}"/>
    <cellStyle name="Bemærk! 2 5" xfId="171" xr:uid="{00000000-0005-0000-0000-0000853F0000}"/>
    <cellStyle name="Bemærk! 2 5 10" xfId="29223" xr:uid="{00000000-0005-0000-0000-0000863F0000}"/>
    <cellStyle name="Bemærk! 2 5 2" xfId="378" xr:uid="{00000000-0005-0000-0000-0000873F0000}"/>
    <cellStyle name="Bemærk! 2 5 2 2" xfId="871" xr:uid="{00000000-0005-0000-0000-0000883F0000}"/>
    <cellStyle name="Bemærk! 2 5 2 2 2" xfId="4530" xr:uid="{00000000-0005-0000-0000-0000893F0000}"/>
    <cellStyle name="Bemærk! 2 5 2 2 2 2" xfId="8952" xr:uid="{00000000-0005-0000-0000-00008A3F0000}"/>
    <cellStyle name="Bemærk! 2 5 2 2 2 2 2" xfId="17773" xr:uid="{00000000-0005-0000-0000-00008B3F0000}"/>
    <cellStyle name="Bemærk! 2 5 2 2 2 3" xfId="13366" xr:uid="{00000000-0005-0000-0000-00008C3F0000}"/>
    <cellStyle name="Bemærk! 2 5 2 2 3" xfId="6747" xr:uid="{00000000-0005-0000-0000-00008D3F0000}"/>
    <cellStyle name="Bemærk! 2 5 2 2 3 2" xfId="15568" xr:uid="{00000000-0005-0000-0000-00008E3F0000}"/>
    <cellStyle name="Bemærk! 2 5 2 2 4" xfId="11161" xr:uid="{00000000-0005-0000-0000-00008F3F0000}"/>
    <cellStyle name="Bemærk! 2 5 2 2 5" xfId="28305" xr:uid="{00000000-0005-0000-0000-0000903F0000}"/>
    <cellStyle name="Bemærk! 2 5 2 2 6" xfId="29225" xr:uid="{00000000-0005-0000-0000-0000913F0000}"/>
    <cellStyle name="Bemærk! 2 5 2 3" xfId="1864" xr:uid="{00000000-0005-0000-0000-0000923F0000}"/>
    <cellStyle name="Bemærk! 2 5 2 3 2" xfId="3820" xr:uid="{00000000-0005-0000-0000-0000933F0000}"/>
    <cellStyle name="Bemærk! 2 5 2 3 2 2" xfId="8214" xr:uid="{00000000-0005-0000-0000-0000943F0000}"/>
    <cellStyle name="Bemærk! 2 5 2 3 2 2 2" xfId="17035" xr:uid="{00000000-0005-0000-0000-0000953F0000}"/>
    <cellStyle name="Bemærk! 2 5 2 3 2 3" xfId="12628" xr:uid="{00000000-0005-0000-0000-0000963F0000}"/>
    <cellStyle name="Bemærk! 2 5 2 3 3" xfId="6009" xr:uid="{00000000-0005-0000-0000-0000973F0000}"/>
    <cellStyle name="Bemærk! 2 5 2 3 3 2" xfId="14830" xr:uid="{00000000-0005-0000-0000-0000983F0000}"/>
    <cellStyle name="Bemærk! 2 5 2 3 4" xfId="10423" xr:uid="{00000000-0005-0000-0000-0000993F0000}"/>
    <cellStyle name="Bemærk! 2 5 2 4" xfId="3083" xr:uid="{00000000-0005-0000-0000-00009A3F0000}"/>
    <cellStyle name="Bemærk! 2 5 2 4 2" xfId="7477" xr:uid="{00000000-0005-0000-0000-00009B3F0000}"/>
    <cellStyle name="Bemærk! 2 5 2 4 2 2" xfId="16298" xr:uid="{00000000-0005-0000-0000-00009C3F0000}"/>
    <cellStyle name="Bemærk! 2 5 2 4 3" xfId="11891" xr:uid="{00000000-0005-0000-0000-00009D3F0000}"/>
    <cellStyle name="Bemærk! 2 5 2 5" xfId="5272" xr:uid="{00000000-0005-0000-0000-00009E3F0000}"/>
    <cellStyle name="Bemærk! 2 5 2 5 2" xfId="14093" xr:uid="{00000000-0005-0000-0000-00009F3F0000}"/>
    <cellStyle name="Bemærk! 2 5 2 6" xfId="9686" xr:uid="{00000000-0005-0000-0000-0000A03F0000}"/>
    <cellStyle name="Bemærk! 2 5 2 7" xfId="27154" xr:uid="{00000000-0005-0000-0000-0000A13F0000}"/>
    <cellStyle name="Bemærk! 2 5 2 8" xfId="28304" xr:uid="{00000000-0005-0000-0000-0000A23F0000}"/>
    <cellStyle name="Bemærk! 2 5 2 9" xfId="29224" xr:uid="{00000000-0005-0000-0000-0000A33F0000}"/>
    <cellStyle name="Bemærk! 2 5 3" xfId="719" xr:uid="{00000000-0005-0000-0000-0000A43F0000}"/>
    <cellStyle name="Bemærk! 2 5 3 2" xfId="4175" xr:uid="{00000000-0005-0000-0000-0000A53F0000}"/>
    <cellStyle name="Bemærk! 2 5 3 2 2" xfId="8583" xr:uid="{00000000-0005-0000-0000-0000A63F0000}"/>
    <cellStyle name="Bemærk! 2 5 3 2 2 2" xfId="17404" xr:uid="{00000000-0005-0000-0000-0000A73F0000}"/>
    <cellStyle name="Bemærk! 2 5 3 2 3" xfId="12997" xr:uid="{00000000-0005-0000-0000-0000A83F0000}"/>
    <cellStyle name="Bemærk! 2 5 3 3" xfId="6378" xr:uid="{00000000-0005-0000-0000-0000A93F0000}"/>
    <cellStyle name="Bemærk! 2 5 3 3 2" xfId="15199" xr:uid="{00000000-0005-0000-0000-0000AA3F0000}"/>
    <cellStyle name="Bemærk! 2 5 3 4" xfId="10792" xr:uid="{00000000-0005-0000-0000-0000AB3F0000}"/>
    <cellStyle name="Bemærk! 2 5 3 5" xfId="28306" xr:uid="{00000000-0005-0000-0000-0000AC3F0000}"/>
    <cellStyle name="Bemærk! 2 5 3 6" xfId="29226" xr:uid="{00000000-0005-0000-0000-0000AD3F0000}"/>
    <cellStyle name="Bemærk! 2 5 4" xfId="1509" xr:uid="{00000000-0005-0000-0000-0000AE3F0000}"/>
    <cellStyle name="Bemærk! 2 5 4 2" xfId="3451" xr:uid="{00000000-0005-0000-0000-0000AF3F0000}"/>
    <cellStyle name="Bemærk! 2 5 4 2 2" xfId="7845" xr:uid="{00000000-0005-0000-0000-0000B03F0000}"/>
    <cellStyle name="Bemærk! 2 5 4 2 2 2" xfId="16666" xr:uid="{00000000-0005-0000-0000-0000B13F0000}"/>
    <cellStyle name="Bemærk! 2 5 4 2 3" xfId="12259" xr:uid="{00000000-0005-0000-0000-0000B23F0000}"/>
    <cellStyle name="Bemærk! 2 5 4 3" xfId="5640" xr:uid="{00000000-0005-0000-0000-0000B33F0000}"/>
    <cellStyle name="Bemærk! 2 5 4 3 2" xfId="14461" xr:uid="{00000000-0005-0000-0000-0000B43F0000}"/>
    <cellStyle name="Bemærk! 2 5 4 4" xfId="10054" xr:uid="{00000000-0005-0000-0000-0000B53F0000}"/>
    <cellStyle name="Bemærk! 2 5 5" xfId="2715" xr:uid="{00000000-0005-0000-0000-0000B63F0000}"/>
    <cellStyle name="Bemærk! 2 5 5 2" xfId="7108" xr:uid="{00000000-0005-0000-0000-0000B73F0000}"/>
    <cellStyle name="Bemærk! 2 5 5 2 2" xfId="15929" xr:uid="{00000000-0005-0000-0000-0000B83F0000}"/>
    <cellStyle name="Bemærk! 2 5 5 3" xfId="11522" xr:uid="{00000000-0005-0000-0000-0000B93F0000}"/>
    <cellStyle name="Bemærk! 2 5 6" xfId="4903" xr:uid="{00000000-0005-0000-0000-0000BA3F0000}"/>
    <cellStyle name="Bemærk! 2 5 6 2" xfId="13724" xr:uid="{00000000-0005-0000-0000-0000BB3F0000}"/>
    <cellStyle name="Bemærk! 2 5 7" xfId="9317" xr:uid="{00000000-0005-0000-0000-0000BC3F0000}"/>
    <cellStyle name="Bemærk! 2 5 8" xfId="27193" xr:uid="{00000000-0005-0000-0000-0000BD3F0000}"/>
    <cellStyle name="Bemærk! 2 5 9" xfId="27396" xr:uid="{00000000-0005-0000-0000-0000BE3F0000}"/>
    <cellStyle name="Bemærk! 2 5 9 2" xfId="29407" xr:uid="{00000000-0005-0000-0000-0000BF3F0000}"/>
    <cellStyle name="Bemærk! 2 6" xfId="265" xr:uid="{00000000-0005-0000-0000-0000C03F0000}"/>
    <cellStyle name="Bemærk! 2 6 2" xfId="2268" xr:uid="{00000000-0005-0000-0000-0000C13F0000}"/>
    <cellStyle name="Bemærk! 2 6 2 2" xfId="4346" xr:uid="{00000000-0005-0000-0000-0000C23F0000}"/>
    <cellStyle name="Bemærk! 2 6 2 2 2" xfId="8767" xr:uid="{00000000-0005-0000-0000-0000C33F0000}"/>
    <cellStyle name="Bemærk! 2 6 2 2 2 2" xfId="17588" xr:uid="{00000000-0005-0000-0000-0000C43F0000}"/>
    <cellStyle name="Bemærk! 2 6 2 2 3" xfId="13181" xr:uid="{00000000-0005-0000-0000-0000C53F0000}"/>
    <cellStyle name="Bemærk! 2 6 2 3" xfId="6562" xr:uid="{00000000-0005-0000-0000-0000C63F0000}"/>
    <cellStyle name="Bemærk! 2 6 2 3 2" xfId="15383" xr:uid="{00000000-0005-0000-0000-0000C73F0000}"/>
    <cellStyle name="Bemærk! 2 6 2 4" xfId="10976" xr:uid="{00000000-0005-0000-0000-0000C83F0000}"/>
    <cellStyle name="Bemærk! 2 6 3" xfId="1680" xr:uid="{00000000-0005-0000-0000-0000C93F0000}"/>
    <cellStyle name="Bemærk! 2 6 3 2" xfId="3635" xr:uid="{00000000-0005-0000-0000-0000CA3F0000}"/>
    <cellStyle name="Bemærk! 2 6 3 2 2" xfId="8029" xr:uid="{00000000-0005-0000-0000-0000CB3F0000}"/>
    <cellStyle name="Bemærk! 2 6 3 2 2 2" xfId="16850" xr:uid="{00000000-0005-0000-0000-0000CC3F0000}"/>
    <cellStyle name="Bemærk! 2 6 3 2 3" xfId="12443" xr:uid="{00000000-0005-0000-0000-0000CD3F0000}"/>
    <cellStyle name="Bemærk! 2 6 3 3" xfId="5824" xr:uid="{00000000-0005-0000-0000-0000CE3F0000}"/>
    <cellStyle name="Bemærk! 2 6 3 3 2" xfId="14645" xr:uid="{00000000-0005-0000-0000-0000CF3F0000}"/>
    <cellStyle name="Bemærk! 2 6 3 4" xfId="10238" xr:uid="{00000000-0005-0000-0000-0000D03F0000}"/>
    <cellStyle name="Bemærk! 2 6 4" xfId="2898" xr:uid="{00000000-0005-0000-0000-0000D13F0000}"/>
    <cellStyle name="Bemærk! 2 6 4 2" xfId="7292" xr:uid="{00000000-0005-0000-0000-0000D23F0000}"/>
    <cellStyle name="Bemærk! 2 6 4 2 2" xfId="16113" xr:uid="{00000000-0005-0000-0000-0000D33F0000}"/>
    <cellStyle name="Bemærk! 2 6 4 3" xfId="11706" xr:uid="{00000000-0005-0000-0000-0000D43F0000}"/>
    <cellStyle name="Bemærk! 2 6 5" xfId="5087" xr:uid="{00000000-0005-0000-0000-0000D53F0000}"/>
    <cellStyle name="Bemærk! 2 6 5 2" xfId="13908" xr:uid="{00000000-0005-0000-0000-0000D63F0000}"/>
    <cellStyle name="Bemærk! 2 6 6" xfId="9501" xr:uid="{00000000-0005-0000-0000-0000D73F0000}"/>
    <cellStyle name="Bemærk! 2 6 7" xfId="1208" xr:uid="{00000000-0005-0000-0000-0000D83F0000}"/>
    <cellStyle name="Bemærk! 2 7" xfId="285" xr:uid="{00000000-0005-0000-0000-0000D93F0000}"/>
    <cellStyle name="Bemærk! 2 7 2" xfId="778" xr:uid="{00000000-0005-0000-0000-0000DA3F0000}"/>
    <cellStyle name="Bemærk! 2 7 2 2" xfId="8398" xr:uid="{00000000-0005-0000-0000-0000DB3F0000}"/>
    <cellStyle name="Bemærk! 2 7 2 2 2" xfId="17219" xr:uid="{00000000-0005-0000-0000-0000DC3F0000}"/>
    <cellStyle name="Bemærk! 2 7 2 3" xfId="12812" xr:uid="{00000000-0005-0000-0000-0000DD3F0000}"/>
    <cellStyle name="Bemærk! 2 7 2 4" xfId="28308" xr:uid="{00000000-0005-0000-0000-0000DE3F0000}"/>
    <cellStyle name="Bemærk! 2 7 2 5" xfId="29228" xr:uid="{00000000-0005-0000-0000-0000DF3F0000}"/>
    <cellStyle name="Bemærk! 2 7 3" xfId="6193" xr:uid="{00000000-0005-0000-0000-0000E03F0000}"/>
    <cellStyle name="Bemærk! 2 7 3 2" xfId="15014" xr:uid="{00000000-0005-0000-0000-0000E13F0000}"/>
    <cellStyle name="Bemærk! 2 7 4" xfId="10607" xr:uid="{00000000-0005-0000-0000-0000E23F0000}"/>
    <cellStyle name="Bemærk! 2 7 5" xfId="28307" xr:uid="{00000000-0005-0000-0000-0000E33F0000}"/>
    <cellStyle name="Bemærk! 2 7 6" xfId="29227" xr:uid="{00000000-0005-0000-0000-0000E43F0000}"/>
    <cellStyle name="Bemærk! 2 8" xfId="708" xr:uid="{00000000-0005-0000-0000-0000E53F0000}"/>
    <cellStyle name="Bemærk! 2 8 2" xfId="3266" xr:uid="{00000000-0005-0000-0000-0000E63F0000}"/>
    <cellStyle name="Bemærk! 2 8 2 2" xfId="7660" xr:uid="{00000000-0005-0000-0000-0000E73F0000}"/>
    <cellStyle name="Bemærk! 2 8 2 2 2" xfId="16481" xr:uid="{00000000-0005-0000-0000-0000E83F0000}"/>
    <cellStyle name="Bemærk! 2 8 2 3" xfId="12074" xr:uid="{00000000-0005-0000-0000-0000E93F0000}"/>
    <cellStyle name="Bemærk! 2 8 3" xfId="5455" xr:uid="{00000000-0005-0000-0000-0000EA3F0000}"/>
    <cellStyle name="Bemærk! 2 8 3 2" xfId="14276" xr:uid="{00000000-0005-0000-0000-0000EB3F0000}"/>
    <cellStyle name="Bemærk! 2 8 4" xfId="9869" xr:uid="{00000000-0005-0000-0000-0000EC3F0000}"/>
    <cellStyle name="Bemærk! 2 8 5" xfId="28309" xr:uid="{00000000-0005-0000-0000-0000ED3F0000}"/>
    <cellStyle name="Bemærk! 2 8 6" xfId="29229" xr:uid="{00000000-0005-0000-0000-0000EE3F0000}"/>
    <cellStyle name="Bemærk! 2 9" xfId="983" xr:uid="{00000000-0005-0000-0000-0000EF3F0000}"/>
    <cellStyle name="Bemærk! 2 9 2" xfId="6937" xr:uid="{00000000-0005-0000-0000-0000F03F0000}"/>
    <cellStyle name="Bemærk! 2 9 2 2" xfId="15758" xr:uid="{00000000-0005-0000-0000-0000F13F0000}"/>
    <cellStyle name="Bemærk! 2 9 3" xfId="11351" xr:uid="{00000000-0005-0000-0000-0000F23F0000}"/>
    <cellStyle name="Bemærk! 2 9 4" xfId="28310" xr:uid="{00000000-0005-0000-0000-0000F33F0000}"/>
    <cellStyle name="Bemærk! 2 9 5" xfId="29230" xr:uid="{00000000-0005-0000-0000-0000F43F0000}"/>
    <cellStyle name="Bemærk! 2_Fordelinger" xfId="18226" xr:uid="{00000000-0005-0000-0000-0000F53F0000}"/>
    <cellStyle name="Bemærk! 3" xfId="266" xr:uid="{00000000-0005-0000-0000-0000F63F0000}"/>
    <cellStyle name="Bemærk! 3 10" xfId="9139" xr:uid="{00000000-0005-0000-0000-0000F73F0000}"/>
    <cellStyle name="Bemærk! 3 11" xfId="28311" xr:uid="{00000000-0005-0000-0000-0000F83F0000}"/>
    <cellStyle name="Bemærk! 3 12" xfId="29231" xr:uid="{00000000-0005-0000-0000-0000F93F0000}"/>
    <cellStyle name="Bemærk! 3 2" xfId="470" xr:uid="{00000000-0005-0000-0000-0000FA3F0000}"/>
    <cellStyle name="Bemærk! 3 2 10" xfId="28312" xr:uid="{00000000-0005-0000-0000-0000FB3F0000}"/>
    <cellStyle name="Bemærk! 3 2 11" xfId="29232" xr:uid="{00000000-0005-0000-0000-0000FC3F0000}"/>
    <cellStyle name="Bemærk! 3 2 2" xfId="963" xr:uid="{00000000-0005-0000-0000-0000FD3F0000}"/>
    <cellStyle name="Bemærk! 3 2 2 10" xfId="29233" xr:uid="{00000000-0005-0000-0000-0000FE3F0000}"/>
    <cellStyle name="Bemærk! 3 2 2 2" xfId="1210" xr:uid="{00000000-0005-0000-0000-0000FF3F0000}"/>
    <cellStyle name="Bemærk! 3 2 2 2 2" xfId="1342" xr:uid="{00000000-0005-0000-0000-000000400000}"/>
    <cellStyle name="Bemærk! 3 2 2 2 2 2" xfId="2504" xr:uid="{00000000-0005-0000-0000-000001400000}"/>
    <cellStyle name="Bemærk! 3 2 2 2 2 2 2" xfId="4675" xr:uid="{00000000-0005-0000-0000-000002400000}"/>
    <cellStyle name="Bemærk! 3 2 2 2 2 2 2 2" xfId="9098" xr:uid="{00000000-0005-0000-0000-000003400000}"/>
    <cellStyle name="Bemærk! 3 2 2 2 2 2 2 2 2" xfId="17919" xr:uid="{00000000-0005-0000-0000-000004400000}"/>
    <cellStyle name="Bemærk! 3 2 2 2 2 2 2 3" xfId="13512" xr:uid="{00000000-0005-0000-0000-000005400000}"/>
    <cellStyle name="Bemærk! 3 2 2 2 2 2 3" xfId="6893" xr:uid="{00000000-0005-0000-0000-000006400000}"/>
    <cellStyle name="Bemærk! 3 2 2 2 2 2 3 2" xfId="15714" xr:uid="{00000000-0005-0000-0000-000007400000}"/>
    <cellStyle name="Bemærk! 3 2 2 2 2 2 4" xfId="11307" xr:uid="{00000000-0005-0000-0000-000008400000}"/>
    <cellStyle name="Bemærk! 3 2 2 2 2 3" xfId="2009" xr:uid="{00000000-0005-0000-0000-000009400000}"/>
    <cellStyle name="Bemærk! 3 2 2 2 2 3 2" xfId="3966" xr:uid="{00000000-0005-0000-0000-00000A400000}"/>
    <cellStyle name="Bemærk! 3 2 2 2 2 3 2 2" xfId="8360" xr:uid="{00000000-0005-0000-0000-00000B400000}"/>
    <cellStyle name="Bemærk! 3 2 2 2 2 3 2 2 2" xfId="17181" xr:uid="{00000000-0005-0000-0000-00000C400000}"/>
    <cellStyle name="Bemærk! 3 2 2 2 2 3 2 3" xfId="12774" xr:uid="{00000000-0005-0000-0000-00000D400000}"/>
    <cellStyle name="Bemærk! 3 2 2 2 2 3 3" xfId="6155" xr:uid="{00000000-0005-0000-0000-00000E400000}"/>
    <cellStyle name="Bemærk! 3 2 2 2 2 3 3 2" xfId="14976" xr:uid="{00000000-0005-0000-0000-00000F400000}"/>
    <cellStyle name="Bemærk! 3 2 2 2 2 3 4" xfId="10569" xr:uid="{00000000-0005-0000-0000-000010400000}"/>
    <cellStyle name="Bemærk! 3 2 2 2 2 4" xfId="3229" xr:uid="{00000000-0005-0000-0000-000011400000}"/>
    <cellStyle name="Bemærk! 3 2 2 2 2 4 2" xfId="7623" xr:uid="{00000000-0005-0000-0000-000012400000}"/>
    <cellStyle name="Bemærk! 3 2 2 2 2 4 2 2" xfId="16444" xr:uid="{00000000-0005-0000-0000-000013400000}"/>
    <cellStyle name="Bemærk! 3 2 2 2 2 4 3" xfId="12037" xr:uid="{00000000-0005-0000-0000-000014400000}"/>
    <cellStyle name="Bemærk! 3 2 2 2 2 5" xfId="5418" xr:uid="{00000000-0005-0000-0000-000015400000}"/>
    <cellStyle name="Bemærk! 3 2 2 2 2 5 2" xfId="14239" xr:uid="{00000000-0005-0000-0000-000016400000}"/>
    <cellStyle name="Bemærk! 3 2 2 2 2 6" xfId="9832" xr:uid="{00000000-0005-0000-0000-000017400000}"/>
    <cellStyle name="Bemærk! 3 2 2 2 3" xfId="2243" xr:uid="{00000000-0005-0000-0000-000018400000}"/>
    <cellStyle name="Bemærk! 3 2 2 2 3 2" xfId="4320" xr:uid="{00000000-0005-0000-0000-000019400000}"/>
    <cellStyle name="Bemærk! 3 2 2 2 3 2 2" xfId="8729" xr:uid="{00000000-0005-0000-0000-00001A400000}"/>
    <cellStyle name="Bemærk! 3 2 2 2 3 2 2 2" xfId="17550" xr:uid="{00000000-0005-0000-0000-00001B400000}"/>
    <cellStyle name="Bemærk! 3 2 2 2 3 2 3" xfId="13143" xr:uid="{00000000-0005-0000-0000-00001C400000}"/>
    <cellStyle name="Bemærk! 3 2 2 2 3 3" xfId="6524" xr:uid="{00000000-0005-0000-0000-00001D400000}"/>
    <cellStyle name="Bemærk! 3 2 2 2 3 3 2" xfId="15345" xr:uid="{00000000-0005-0000-0000-00001E400000}"/>
    <cellStyle name="Bemærk! 3 2 2 2 3 4" xfId="10938" xr:uid="{00000000-0005-0000-0000-00001F400000}"/>
    <cellStyle name="Bemærk! 3 2 2 2 4" xfId="1654" xr:uid="{00000000-0005-0000-0000-000020400000}"/>
    <cellStyle name="Bemærk! 3 2 2 2 4 2" xfId="3597" xr:uid="{00000000-0005-0000-0000-000021400000}"/>
    <cellStyle name="Bemærk! 3 2 2 2 4 2 2" xfId="7991" xr:uid="{00000000-0005-0000-0000-000022400000}"/>
    <cellStyle name="Bemærk! 3 2 2 2 4 2 2 2" xfId="16812" xr:uid="{00000000-0005-0000-0000-000023400000}"/>
    <cellStyle name="Bemærk! 3 2 2 2 4 2 3" xfId="12405" xr:uid="{00000000-0005-0000-0000-000024400000}"/>
    <cellStyle name="Bemærk! 3 2 2 2 4 3" xfId="5786" xr:uid="{00000000-0005-0000-0000-000025400000}"/>
    <cellStyle name="Bemærk! 3 2 2 2 4 3 2" xfId="14607" xr:uid="{00000000-0005-0000-0000-000026400000}"/>
    <cellStyle name="Bemærk! 3 2 2 2 4 4" xfId="10200" xr:uid="{00000000-0005-0000-0000-000027400000}"/>
    <cellStyle name="Bemærk! 3 2 2 2 5" xfId="2860" xr:uid="{00000000-0005-0000-0000-000028400000}"/>
    <cellStyle name="Bemærk! 3 2 2 2 5 2" xfId="7254" xr:uid="{00000000-0005-0000-0000-000029400000}"/>
    <cellStyle name="Bemærk! 3 2 2 2 5 2 2" xfId="16075" xr:uid="{00000000-0005-0000-0000-00002A400000}"/>
    <cellStyle name="Bemærk! 3 2 2 2 5 3" xfId="11668" xr:uid="{00000000-0005-0000-0000-00002B400000}"/>
    <cellStyle name="Bemærk! 3 2 2 2 6" xfId="5049" xr:uid="{00000000-0005-0000-0000-00002C400000}"/>
    <cellStyle name="Bemærk! 3 2 2 2 6 2" xfId="13870" xr:uid="{00000000-0005-0000-0000-00002D400000}"/>
    <cellStyle name="Bemærk! 3 2 2 2 7" xfId="9463" xr:uid="{00000000-0005-0000-0000-00002E400000}"/>
    <cellStyle name="Bemærk! 3 2 2 3" xfId="1298" xr:uid="{00000000-0005-0000-0000-00002F400000}"/>
    <cellStyle name="Bemærk! 3 2 2 3 2" xfId="2373" xr:uid="{00000000-0005-0000-0000-000030400000}"/>
    <cellStyle name="Bemærk! 3 2 2 3 2 2" xfId="4491" xr:uid="{00000000-0005-0000-0000-000031400000}"/>
    <cellStyle name="Bemærk! 3 2 2 3 2 2 2" xfId="8913" xr:uid="{00000000-0005-0000-0000-000032400000}"/>
    <cellStyle name="Bemærk! 3 2 2 3 2 2 2 2" xfId="17734" xr:uid="{00000000-0005-0000-0000-000033400000}"/>
    <cellStyle name="Bemærk! 3 2 2 3 2 2 3" xfId="13327" xr:uid="{00000000-0005-0000-0000-000034400000}"/>
    <cellStyle name="Bemærk! 3 2 2 3 2 3" xfId="6708" xr:uid="{00000000-0005-0000-0000-000035400000}"/>
    <cellStyle name="Bemærk! 3 2 2 3 2 3 2" xfId="15529" xr:uid="{00000000-0005-0000-0000-000036400000}"/>
    <cellStyle name="Bemærk! 3 2 2 3 2 4" xfId="11122" xr:uid="{00000000-0005-0000-0000-000037400000}"/>
    <cellStyle name="Bemærk! 3 2 2 3 3" xfId="1825" xr:uid="{00000000-0005-0000-0000-000038400000}"/>
    <cellStyle name="Bemærk! 3 2 2 3 3 2" xfId="3781" xr:uid="{00000000-0005-0000-0000-000039400000}"/>
    <cellStyle name="Bemærk! 3 2 2 3 3 2 2" xfId="8175" xr:uid="{00000000-0005-0000-0000-00003A400000}"/>
    <cellStyle name="Bemærk! 3 2 2 3 3 2 2 2" xfId="16996" xr:uid="{00000000-0005-0000-0000-00003B400000}"/>
    <cellStyle name="Bemærk! 3 2 2 3 3 2 3" xfId="12589" xr:uid="{00000000-0005-0000-0000-00003C400000}"/>
    <cellStyle name="Bemærk! 3 2 2 3 3 3" xfId="5970" xr:uid="{00000000-0005-0000-0000-00003D400000}"/>
    <cellStyle name="Bemærk! 3 2 2 3 3 3 2" xfId="14791" xr:uid="{00000000-0005-0000-0000-00003E400000}"/>
    <cellStyle name="Bemærk! 3 2 2 3 3 4" xfId="10384" xr:uid="{00000000-0005-0000-0000-00003F400000}"/>
    <cellStyle name="Bemærk! 3 2 2 3 4" xfId="3044" xr:uid="{00000000-0005-0000-0000-000040400000}"/>
    <cellStyle name="Bemærk! 3 2 2 3 4 2" xfId="7438" xr:uid="{00000000-0005-0000-0000-000041400000}"/>
    <cellStyle name="Bemærk! 3 2 2 3 4 2 2" xfId="16259" xr:uid="{00000000-0005-0000-0000-000042400000}"/>
    <cellStyle name="Bemærk! 3 2 2 3 4 3" xfId="11852" xr:uid="{00000000-0005-0000-0000-000043400000}"/>
    <cellStyle name="Bemærk! 3 2 2 3 5" xfId="5233" xr:uid="{00000000-0005-0000-0000-000044400000}"/>
    <cellStyle name="Bemærk! 3 2 2 3 5 2" xfId="14054" xr:uid="{00000000-0005-0000-0000-000045400000}"/>
    <cellStyle name="Bemærk! 3 2 2 3 6" xfId="9647" xr:uid="{00000000-0005-0000-0000-000046400000}"/>
    <cellStyle name="Bemærk! 3 2 2 4" xfId="2112" xr:uid="{00000000-0005-0000-0000-000047400000}"/>
    <cellStyle name="Bemærk! 3 2 2 4 2" xfId="4136" xr:uid="{00000000-0005-0000-0000-000048400000}"/>
    <cellStyle name="Bemærk! 3 2 2 4 2 2" xfId="8544" xr:uid="{00000000-0005-0000-0000-000049400000}"/>
    <cellStyle name="Bemærk! 3 2 2 4 2 2 2" xfId="17365" xr:uid="{00000000-0005-0000-0000-00004A400000}"/>
    <cellStyle name="Bemærk! 3 2 2 4 2 3" xfId="12958" xr:uid="{00000000-0005-0000-0000-00004B400000}"/>
    <cellStyle name="Bemærk! 3 2 2 4 3" xfId="6339" xr:uid="{00000000-0005-0000-0000-00004C400000}"/>
    <cellStyle name="Bemærk! 3 2 2 4 3 2" xfId="15160" xr:uid="{00000000-0005-0000-0000-00004D400000}"/>
    <cellStyle name="Bemærk! 3 2 2 4 4" xfId="10753" xr:uid="{00000000-0005-0000-0000-00004E400000}"/>
    <cellStyle name="Bemærk! 3 2 2 5" xfId="1470" xr:uid="{00000000-0005-0000-0000-00004F400000}"/>
    <cellStyle name="Bemærk! 3 2 2 5 2" xfId="3412" xr:uid="{00000000-0005-0000-0000-000050400000}"/>
    <cellStyle name="Bemærk! 3 2 2 5 2 2" xfId="7806" xr:uid="{00000000-0005-0000-0000-000051400000}"/>
    <cellStyle name="Bemærk! 3 2 2 5 2 2 2" xfId="16627" xr:uid="{00000000-0005-0000-0000-000052400000}"/>
    <cellStyle name="Bemærk! 3 2 2 5 2 3" xfId="12220" xr:uid="{00000000-0005-0000-0000-000053400000}"/>
    <cellStyle name="Bemærk! 3 2 2 5 3" xfId="5601" xr:uid="{00000000-0005-0000-0000-000054400000}"/>
    <cellStyle name="Bemærk! 3 2 2 5 3 2" xfId="14422" xr:uid="{00000000-0005-0000-0000-000055400000}"/>
    <cellStyle name="Bemærk! 3 2 2 5 4" xfId="10015" xr:uid="{00000000-0005-0000-0000-000056400000}"/>
    <cellStyle name="Bemærk! 3 2 2 6" xfId="2676" xr:uid="{00000000-0005-0000-0000-000057400000}"/>
    <cellStyle name="Bemærk! 3 2 2 6 2" xfId="7069" xr:uid="{00000000-0005-0000-0000-000058400000}"/>
    <cellStyle name="Bemærk! 3 2 2 6 2 2" xfId="15890" xr:uid="{00000000-0005-0000-0000-000059400000}"/>
    <cellStyle name="Bemærk! 3 2 2 6 3" xfId="11483" xr:uid="{00000000-0005-0000-0000-00005A400000}"/>
    <cellStyle name="Bemærk! 3 2 2 7" xfId="4864" xr:uid="{00000000-0005-0000-0000-00005B400000}"/>
    <cellStyle name="Bemærk! 3 2 2 7 2" xfId="13685" xr:uid="{00000000-0005-0000-0000-00005C400000}"/>
    <cellStyle name="Bemærk! 3 2 2 8" xfId="9278" xr:uid="{00000000-0005-0000-0000-00005D400000}"/>
    <cellStyle name="Bemærk! 3 2 2 9" xfId="28313" xr:uid="{00000000-0005-0000-0000-00005E400000}"/>
    <cellStyle name="Bemærk! 3 2 3" xfId="1254" xr:uid="{00000000-0005-0000-0000-00005F400000}"/>
    <cellStyle name="Bemærk! 3 2 3 2" xfId="1122" xr:uid="{00000000-0005-0000-0000-000060400000}"/>
    <cellStyle name="Bemærk! 3 2 3 2 2" xfId="2439" xr:uid="{00000000-0005-0000-0000-000061400000}"/>
    <cellStyle name="Bemærk! 3 2 3 2 2 2" xfId="4583" xr:uid="{00000000-0005-0000-0000-000062400000}"/>
    <cellStyle name="Bemærk! 3 2 3 2 2 2 2" xfId="9006" xr:uid="{00000000-0005-0000-0000-000063400000}"/>
    <cellStyle name="Bemærk! 3 2 3 2 2 2 2 2" xfId="17827" xr:uid="{00000000-0005-0000-0000-000064400000}"/>
    <cellStyle name="Bemærk! 3 2 3 2 2 2 3" xfId="13420" xr:uid="{00000000-0005-0000-0000-000065400000}"/>
    <cellStyle name="Bemærk! 3 2 3 2 2 3" xfId="6801" xr:uid="{00000000-0005-0000-0000-000066400000}"/>
    <cellStyle name="Bemærk! 3 2 3 2 2 3 2" xfId="15622" xr:uid="{00000000-0005-0000-0000-000067400000}"/>
    <cellStyle name="Bemærk! 3 2 3 2 2 4" xfId="11215" xr:uid="{00000000-0005-0000-0000-000068400000}"/>
    <cellStyle name="Bemærk! 3 2 3 2 3" xfId="1917" xr:uid="{00000000-0005-0000-0000-000069400000}"/>
    <cellStyle name="Bemærk! 3 2 3 2 3 2" xfId="3874" xr:uid="{00000000-0005-0000-0000-00006A400000}"/>
    <cellStyle name="Bemærk! 3 2 3 2 3 2 2" xfId="8268" xr:uid="{00000000-0005-0000-0000-00006B400000}"/>
    <cellStyle name="Bemærk! 3 2 3 2 3 2 2 2" xfId="17089" xr:uid="{00000000-0005-0000-0000-00006C400000}"/>
    <cellStyle name="Bemærk! 3 2 3 2 3 2 3" xfId="12682" xr:uid="{00000000-0005-0000-0000-00006D400000}"/>
    <cellStyle name="Bemærk! 3 2 3 2 3 3" xfId="6063" xr:uid="{00000000-0005-0000-0000-00006E400000}"/>
    <cellStyle name="Bemærk! 3 2 3 2 3 3 2" xfId="14884" xr:uid="{00000000-0005-0000-0000-00006F400000}"/>
    <cellStyle name="Bemærk! 3 2 3 2 3 4" xfId="10477" xr:uid="{00000000-0005-0000-0000-000070400000}"/>
    <cellStyle name="Bemærk! 3 2 3 2 4" xfId="3137" xr:uid="{00000000-0005-0000-0000-000071400000}"/>
    <cellStyle name="Bemærk! 3 2 3 2 4 2" xfId="7531" xr:uid="{00000000-0005-0000-0000-000072400000}"/>
    <cellStyle name="Bemærk! 3 2 3 2 4 2 2" xfId="16352" xr:uid="{00000000-0005-0000-0000-000073400000}"/>
    <cellStyle name="Bemærk! 3 2 3 2 4 3" xfId="11945" xr:uid="{00000000-0005-0000-0000-000074400000}"/>
    <cellStyle name="Bemærk! 3 2 3 2 5" xfId="5326" xr:uid="{00000000-0005-0000-0000-000075400000}"/>
    <cellStyle name="Bemærk! 3 2 3 2 5 2" xfId="14147" xr:uid="{00000000-0005-0000-0000-000076400000}"/>
    <cellStyle name="Bemærk! 3 2 3 2 6" xfId="9740" xr:uid="{00000000-0005-0000-0000-000077400000}"/>
    <cellStyle name="Bemærk! 3 2 3 3" xfId="2178" xr:uid="{00000000-0005-0000-0000-000078400000}"/>
    <cellStyle name="Bemærk! 3 2 3 3 2" xfId="4228" xr:uid="{00000000-0005-0000-0000-000079400000}"/>
    <cellStyle name="Bemærk! 3 2 3 3 2 2" xfId="8637" xr:uid="{00000000-0005-0000-0000-00007A400000}"/>
    <cellStyle name="Bemærk! 3 2 3 3 2 2 2" xfId="17458" xr:uid="{00000000-0005-0000-0000-00007B400000}"/>
    <cellStyle name="Bemærk! 3 2 3 3 2 3" xfId="13051" xr:uid="{00000000-0005-0000-0000-00007C400000}"/>
    <cellStyle name="Bemærk! 3 2 3 3 3" xfId="6432" xr:uid="{00000000-0005-0000-0000-00007D400000}"/>
    <cellStyle name="Bemærk! 3 2 3 3 3 2" xfId="15253" xr:uid="{00000000-0005-0000-0000-00007E400000}"/>
    <cellStyle name="Bemærk! 3 2 3 3 4" xfId="10846" xr:uid="{00000000-0005-0000-0000-00007F400000}"/>
    <cellStyle name="Bemærk! 3 2 3 4" xfId="1562" xr:uid="{00000000-0005-0000-0000-000080400000}"/>
    <cellStyle name="Bemærk! 3 2 3 4 2" xfId="3505" xr:uid="{00000000-0005-0000-0000-000081400000}"/>
    <cellStyle name="Bemærk! 3 2 3 4 2 2" xfId="7899" xr:uid="{00000000-0005-0000-0000-000082400000}"/>
    <cellStyle name="Bemærk! 3 2 3 4 2 2 2" xfId="16720" xr:uid="{00000000-0005-0000-0000-000083400000}"/>
    <cellStyle name="Bemærk! 3 2 3 4 2 3" xfId="12313" xr:uid="{00000000-0005-0000-0000-000084400000}"/>
    <cellStyle name="Bemærk! 3 2 3 4 3" xfId="5694" xr:uid="{00000000-0005-0000-0000-000085400000}"/>
    <cellStyle name="Bemærk! 3 2 3 4 3 2" xfId="14515" xr:uid="{00000000-0005-0000-0000-000086400000}"/>
    <cellStyle name="Bemærk! 3 2 3 4 4" xfId="10108" xr:uid="{00000000-0005-0000-0000-000087400000}"/>
    <cellStyle name="Bemærk! 3 2 3 5" xfId="2768" xr:uid="{00000000-0005-0000-0000-000088400000}"/>
    <cellStyle name="Bemærk! 3 2 3 5 2" xfId="7162" xr:uid="{00000000-0005-0000-0000-000089400000}"/>
    <cellStyle name="Bemærk! 3 2 3 5 2 2" xfId="15983" xr:uid="{00000000-0005-0000-0000-00008A400000}"/>
    <cellStyle name="Bemærk! 3 2 3 5 3" xfId="11576" xr:uid="{00000000-0005-0000-0000-00008B400000}"/>
    <cellStyle name="Bemærk! 3 2 3 6" xfId="4957" xr:uid="{00000000-0005-0000-0000-00008C400000}"/>
    <cellStyle name="Bemærk! 3 2 3 6 2" xfId="13778" xr:uid="{00000000-0005-0000-0000-00008D400000}"/>
    <cellStyle name="Bemærk! 3 2 3 7" xfId="9371" xr:uid="{00000000-0005-0000-0000-00008E400000}"/>
    <cellStyle name="Bemærk! 3 2 4" xfId="1294" xr:uid="{00000000-0005-0000-0000-00008F400000}"/>
    <cellStyle name="Bemærk! 3 2 4 2" xfId="2308" xr:uid="{00000000-0005-0000-0000-000090400000}"/>
    <cellStyle name="Bemærk! 3 2 4 2 2" xfId="4399" xr:uid="{00000000-0005-0000-0000-000091400000}"/>
    <cellStyle name="Bemærk! 3 2 4 2 2 2" xfId="8821" xr:uid="{00000000-0005-0000-0000-000092400000}"/>
    <cellStyle name="Bemærk! 3 2 4 2 2 2 2" xfId="17642" xr:uid="{00000000-0005-0000-0000-000093400000}"/>
    <cellStyle name="Bemærk! 3 2 4 2 2 3" xfId="13235" xr:uid="{00000000-0005-0000-0000-000094400000}"/>
    <cellStyle name="Bemærk! 3 2 4 2 3" xfId="6616" xr:uid="{00000000-0005-0000-0000-000095400000}"/>
    <cellStyle name="Bemærk! 3 2 4 2 3 2" xfId="15437" xr:uid="{00000000-0005-0000-0000-000096400000}"/>
    <cellStyle name="Bemærk! 3 2 4 2 4" xfId="11030" xr:uid="{00000000-0005-0000-0000-000097400000}"/>
    <cellStyle name="Bemærk! 3 2 4 3" xfId="1733" xr:uid="{00000000-0005-0000-0000-000098400000}"/>
    <cellStyle name="Bemærk! 3 2 4 3 2" xfId="3689" xr:uid="{00000000-0005-0000-0000-000099400000}"/>
    <cellStyle name="Bemærk! 3 2 4 3 2 2" xfId="8083" xr:uid="{00000000-0005-0000-0000-00009A400000}"/>
    <cellStyle name="Bemærk! 3 2 4 3 2 2 2" xfId="16904" xr:uid="{00000000-0005-0000-0000-00009B400000}"/>
    <cellStyle name="Bemærk! 3 2 4 3 2 3" xfId="12497" xr:uid="{00000000-0005-0000-0000-00009C400000}"/>
    <cellStyle name="Bemærk! 3 2 4 3 3" xfId="5878" xr:uid="{00000000-0005-0000-0000-00009D400000}"/>
    <cellStyle name="Bemærk! 3 2 4 3 3 2" xfId="14699" xr:uid="{00000000-0005-0000-0000-00009E400000}"/>
    <cellStyle name="Bemærk! 3 2 4 3 4" xfId="10292" xr:uid="{00000000-0005-0000-0000-00009F400000}"/>
    <cellStyle name="Bemærk! 3 2 4 4" xfId="2952" xr:uid="{00000000-0005-0000-0000-0000A0400000}"/>
    <cellStyle name="Bemærk! 3 2 4 4 2" xfId="7346" xr:uid="{00000000-0005-0000-0000-0000A1400000}"/>
    <cellStyle name="Bemærk! 3 2 4 4 2 2" xfId="16167" xr:uid="{00000000-0005-0000-0000-0000A2400000}"/>
    <cellStyle name="Bemærk! 3 2 4 4 3" xfId="11760" xr:uid="{00000000-0005-0000-0000-0000A3400000}"/>
    <cellStyle name="Bemærk! 3 2 4 5" xfId="5141" xr:uid="{00000000-0005-0000-0000-0000A4400000}"/>
    <cellStyle name="Bemærk! 3 2 4 5 2" xfId="13962" xr:uid="{00000000-0005-0000-0000-0000A5400000}"/>
    <cellStyle name="Bemærk! 3 2 4 6" xfId="9555" xr:uid="{00000000-0005-0000-0000-0000A6400000}"/>
    <cellStyle name="Bemærk! 3 2 5" xfId="2059" xr:uid="{00000000-0005-0000-0000-0000A7400000}"/>
    <cellStyle name="Bemærk! 3 2 5 2" xfId="4044" xr:uid="{00000000-0005-0000-0000-0000A8400000}"/>
    <cellStyle name="Bemærk! 3 2 5 2 2" xfId="8452" xr:uid="{00000000-0005-0000-0000-0000A9400000}"/>
    <cellStyle name="Bemærk! 3 2 5 2 2 2" xfId="17273" xr:uid="{00000000-0005-0000-0000-0000AA400000}"/>
    <cellStyle name="Bemærk! 3 2 5 2 3" xfId="12866" xr:uid="{00000000-0005-0000-0000-0000AB400000}"/>
    <cellStyle name="Bemærk! 3 2 5 3" xfId="6247" xr:uid="{00000000-0005-0000-0000-0000AC400000}"/>
    <cellStyle name="Bemærk! 3 2 5 3 2" xfId="15068" xr:uid="{00000000-0005-0000-0000-0000AD400000}"/>
    <cellStyle name="Bemærk! 3 2 5 4" xfId="10661" xr:uid="{00000000-0005-0000-0000-0000AE400000}"/>
    <cellStyle name="Bemærk! 3 2 6" xfId="1405" xr:uid="{00000000-0005-0000-0000-0000AF400000}"/>
    <cellStyle name="Bemærk! 3 2 6 2" xfId="3320" xr:uid="{00000000-0005-0000-0000-0000B0400000}"/>
    <cellStyle name="Bemærk! 3 2 6 2 2" xfId="7714" xr:uid="{00000000-0005-0000-0000-0000B1400000}"/>
    <cellStyle name="Bemærk! 3 2 6 2 2 2" xfId="16535" xr:uid="{00000000-0005-0000-0000-0000B2400000}"/>
    <cellStyle name="Bemærk! 3 2 6 2 3" xfId="12128" xr:uid="{00000000-0005-0000-0000-0000B3400000}"/>
    <cellStyle name="Bemærk! 3 2 6 3" xfId="5509" xr:uid="{00000000-0005-0000-0000-0000B4400000}"/>
    <cellStyle name="Bemærk! 3 2 6 3 2" xfId="14330" xr:uid="{00000000-0005-0000-0000-0000B5400000}"/>
    <cellStyle name="Bemærk! 3 2 6 4" xfId="9923" xr:uid="{00000000-0005-0000-0000-0000B6400000}"/>
    <cellStyle name="Bemærk! 3 2 7" xfId="2584" xr:uid="{00000000-0005-0000-0000-0000B7400000}"/>
    <cellStyle name="Bemærk! 3 2 7 2" xfId="6977" xr:uid="{00000000-0005-0000-0000-0000B8400000}"/>
    <cellStyle name="Bemærk! 3 2 7 2 2" xfId="15798" xr:uid="{00000000-0005-0000-0000-0000B9400000}"/>
    <cellStyle name="Bemærk! 3 2 7 3" xfId="11391" xr:uid="{00000000-0005-0000-0000-0000BA400000}"/>
    <cellStyle name="Bemærk! 3 2 8" xfId="4772" xr:uid="{00000000-0005-0000-0000-0000BB400000}"/>
    <cellStyle name="Bemærk! 3 2 8 2" xfId="13593" xr:uid="{00000000-0005-0000-0000-0000BC400000}"/>
    <cellStyle name="Bemærk! 3 2 9" xfId="9186" xr:uid="{00000000-0005-0000-0000-0000BD400000}"/>
    <cellStyle name="Bemærk! 3 3" xfId="515" xr:uid="{00000000-0005-0000-0000-0000BE400000}"/>
    <cellStyle name="Bemærk! 3 3 10" xfId="29234" xr:uid="{00000000-0005-0000-0000-0000BF400000}"/>
    <cellStyle name="Bemærk! 3 3 2" xfId="1215" xr:uid="{00000000-0005-0000-0000-0000C0400000}"/>
    <cellStyle name="Bemærk! 3 3 2 2" xfId="1186" xr:uid="{00000000-0005-0000-0000-0000C1400000}"/>
    <cellStyle name="Bemærk! 3 3 2 2 2" xfId="2459" xr:uid="{00000000-0005-0000-0000-0000C2400000}"/>
    <cellStyle name="Bemærk! 3 3 2 2 2 2" xfId="4615" xr:uid="{00000000-0005-0000-0000-0000C3400000}"/>
    <cellStyle name="Bemærk! 3 3 2 2 2 2 2" xfId="9038" xr:uid="{00000000-0005-0000-0000-0000C4400000}"/>
    <cellStyle name="Bemærk! 3 3 2 2 2 2 2 2" xfId="17859" xr:uid="{00000000-0005-0000-0000-0000C5400000}"/>
    <cellStyle name="Bemærk! 3 3 2 2 2 2 3" xfId="13452" xr:uid="{00000000-0005-0000-0000-0000C6400000}"/>
    <cellStyle name="Bemærk! 3 3 2 2 2 3" xfId="6833" xr:uid="{00000000-0005-0000-0000-0000C7400000}"/>
    <cellStyle name="Bemærk! 3 3 2 2 2 3 2" xfId="15654" xr:uid="{00000000-0005-0000-0000-0000C8400000}"/>
    <cellStyle name="Bemærk! 3 3 2 2 2 4" xfId="11247" xr:uid="{00000000-0005-0000-0000-0000C9400000}"/>
    <cellStyle name="Bemærk! 3 3 2 2 3" xfId="1949" xr:uid="{00000000-0005-0000-0000-0000CA400000}"/>
    <cellStyle name="Bemærk! 3 3 2 2 3 2" xfId="3906" xr:uid="{00000000-0005-0000-0000-0000CB400000}"/>
    <cellStyle name="Bemærk! 3 3 2 2 3 2 2" xfId="8300" xr:uid="{00000000-0005-0000-0000-0000CC400000}"/>
    <cellStyle name="Bemærk! 3 3 2 2 3 2 2 2" xfId="17121" xr:uid="{00000000-0005-0000-0000-0000CD400000}"/>
    <cellStyle name="Bemærk! 3 3 2 2 3 2 3" xfId="12714" xr:uid="{00000000-0005-0000-0000-0000CE400000}"/>
    <cellStyle name="Bemærk! 3 3 2 2 3 3" xfId="6095" xr:uid="{00000000-0005-0000-0000-0000CF400000}"/>
    <cellStyle name="Bemærk! 3 3 2 2 3 3 2" xfId="14916" xr:uid="{00000000-0005-0000-0000-0000D0400000}"/>
    <cellStyle name="Bemærk! 3 3 2 2 3 4" xfId="10509" xr:uid="{00000000-0005-0000-0000-0000D1400000}"/>
    <cellStyle name="Bemærk! 3 3 2 2 4" xfId="3169" xr:uid="{00000000-0005-0000-0000-0000D2400000}"/>
    <cellStyle name="Bemærk! 3 3 2 2 4 2" xfId="7563" xr:uid="{00000000-0005-0000-0000-0000D3400000}"/>
    <cellStyle name="Bemærk! 3 3 2 2 4 2 2" xfId="16384" xr:uid="{00000000-0005-0000-0000-0000D4400000}"/>
    <cellStyle name="Bemærk! 3 3 2 2 4 3" xfId="11977" xr:uid="{00000000-0005-0000-0000-0000D5400000}"/>
    <cellStyle name="Bemærk! 3 3 2 2 5" xfId="5358" xr:uid="{00000000-0005-0000-0000-0000D6400000}"/>
    <cellStyle name="Bemærk! 3 3 2 2 5 2" xfId="14179" xr:uid="{00000000-0005-0000-0000-0000D7400000}"/>
    <cellStyle name="Bemærk! 3 3 2 2 6" xfId="9772" xr:uid="{00000000-0005-0000-0000-0000D8400000}"/>
    <cellStyle name="Bemærk! 3 3 2 3" xfId="2198" xr:uid="{00000000-0005-0000-0000-0000D9400000}"/>
    <cellStyle name="Bemærk! 3 3 2 3 2" xfId="4260" xr:uid="{00000000-0005-0000-0000-0000DA400000}"/>
    <cellStyle name="Bemærk! 3 3 2 3 2 2" xfId="8669" xr:uid="{00000000-0005-0000-0000-0000DB400000}"/>
    <cellStyle name="Bemærk! 3 3 2 3 2 2 2" xfId="17490" xr:uid="{00000000-0005-0000-0000-0000DC400000}"/>
    <cellStyle name="Bemærk! 3 3 2 3 2 3" xfId="13083" xr:uid="{00000000-0005-0000-0000-0000DD400000}"/>
    <cellStyle name="Bemærk! 3 3 2 3 3" xfId="6464" xr:uid="{00000000-0005-0000-0000-0000DE400000}"/>
    <cellStyle name="Bemærk! 3 3 2 3 3 2" xfId="15285" xr:uid="{00000000-0005-0000-0000-0000DF400000}"/>
    <cellStyle name="Bemærk! 3 3 2 3 4" xfId="10878" xr:uid="{00000000-0005-0000-0000-0000E0400000}"/>
    <cellStyle name="Bemærk! 3 3 2 4" xfId="1594" xr:uid="{00000000-0005-0000-0000-0000E1400000}"/>
    <cellStyle name="Bemærk! 3 3 2 4 2" xfId="3537" xr:uid="{00000000-0005-0000-0000-0000E2400000}"/>
    <cellStyle name="Bemærk! 3 3 2 4 2 2" xfId="7931" xr:uid="{00000000-0005-0000-0000-0000E3400000}"/>
    <cellStyle name="Bemærk! 3 3 2 4 2 2 2" xfId="16752" xr:uid="{00000000-0005-0000-0000-0000E4400000}"/>
    <cellStyle name="Bemærk! 3 3 2 4 2 3" xfId="12345" xr:uid="{00000000-0005-0000-0000-0000E5400000}"/>
    <cellStyle name="Bemærk! 3 3 2 4 3" xfId="5726" xr:uid="{00000000-0005-0000-0000-0000E6400000}"/>
    <cellStyle name="Bemærk! 3 3 2 4 3 2" xfId="14547" xr:uid="{00000000-0005-0000-0000-0000E7400000}"/>
    <cellStyle name="Bemærk! 3 3 2 4 4" xfId="10140" xr:uid="{00000000-0005-0000-0000-0000E8400000}"/>
    <cellStyle name="Bemærk! 3 3 2 5" xfId="2800" xr:uid="{00000000-0005-0000-0000-0000E9400000}"/>
    <cellStyle name="Bemærk! 3 3 2 5 2" xfId="7194" xr:uid="{00000000-0005-0000-0000-0000EA400000}"/>
    <cellStyle name="Bemærk! 3 3 2 5 2 2" xfId="16015" xr:uid="{00000000-0005-0000-0000-0000EB400000}"/>
    <cellStyle name="Bemærk! 3 3 2 5 3" xfId="11608" xr:uid="{00000000-0005-0000-0000-0000EC400000}"/>
    <cellStyle name="Bemærk! 3 3 2 6" xfId="4989" xr:uid="{00000000-0005-0000-0000-0000ED400000}"/>
    <cellStyle name="Bemærk! 3 3 2 6 2" xfId="13810" xr:uid="{00000000-0005-0000-0000-0000EE400000}"/>
    <cellStyle name="Bemærk! 3 3 2 7" xfId="9403" xr:uid="{00000000-0005-0000-0000-0000EF400000}"/>
    <cellStyle name="Bemærk! 3 3 3" xfId="1299" xr:uid="{00000000-0005-0000-0000-0000F0400000}"/>
    <cellStyle name="Bemærk! 3 3 3 2" xfId="2328" xr:uid="{00000000-0005-0000-0000-0000F1400000}"/>
    <cellStyle name="Bemærk! 3 3 3 2 2" xfId="4431" xr:uid="{00000000-0005-0000-0000-0000F2400000}"/>
    <cellStyle name="Bemærk! 3 3 3 2 2 2" xfId="8853" xr:uid="{00000000-0005-0000-0000-0000F3400000}"/>
    <cellStyle name="Bemærk! 3 3 3 2 2 2 2" xfId="17674" xr:uid="{00000000-0005-0000-0000-0000F4400000}"/>
    <cellStyle name="Bemærk! 3 3 3 2 2 3" xfId="13267" xr:uid="{00000000-0005-0000-0000-0000F5400000}"/>
    <cellStyle name="Bemærk! 3 3 3 2 3" xfId="6648" xr:uid="{00000000-0005-0000-0000-0000F6400000}"/>
    <cellStyle name="Bemærk! 3 3 3 2 3 2" xfId="15469" xr:uid="{00000000-0005-0000-0000-0000F7400000}"/>
    <cellStyle name="Bemærk! 3 3 3 2 4" xfId="11062" xr:uid="{00000000-0005-0000-0000-0000F8400000}"/>
    <cellStyle name="Bemærk! 3 3 3 3" xfId="1765" xr:uid="{00000000-0005-0000-0000-0000F9400000}"/>
    <cellStyle name="Bemærk! 3 3 3 3 2" xfId="3721" xr:uid="{00000000-0005-0000-0000-0000FA400000}"/>
    <cellStyle name="Bemærk! 3 3 3 3 2 2" xfId="8115" xr:uid="{00000000-0005-0000-0000-0000FB400000}"/>
    <cellStyle name="Bemærk! 3 3 3 3 2 2 2" xfId="16936" xr:uid="{00000000-0005-0000-0000-0000FC400000}"/>
    <cellStyle name="Bemærk! 3 3 3 3 2 3" xfId="12529" xr:uid="{00000000-0005-0000-0000-0000FD400000}"/>
    <cellStyle name="Bemærk! 3 3 3 3 3" xfId="5910" xr:uid="{00000000-0005-0000-0000-0000FE400000}"/>
    <cellStyle name="Bemærk! 3 3 3 3 3 2" xfId="14731" xr:uid="{00000000-0005-0000-0000-0000FF400000}"/>
    <cellStyle name="Bemærk! 3 3 3 3 4" xfId="10324" xr:uid="{00000000-0005-0000-0000-000000410000}"/>
    <cellStyle name="Bemærk! 3 3 3 4" xfId="2984" xr:uid="{00000000-0005-0000-0000-000001410000}"/>
    <cellStyle name="Bemærk! 3 3 3 4 2" xfId="7378" xr:uid="{00000000-0005-0000-0000-000002410000}"/>
    <cellStyle name="Bemærk! 3 3 3 4 2 2" xfId="16199" xr:uid="{00000000-0005-0000-0000-000003410000}"/>
    <cellStyle name="Bemærk! 3 3 3 4 3" xfId="11792" xr:uid="{00000000-0005-0000-0000-000004410000}"/>
    <cellStyle name="Bemærk! 3 3 3 5" xfId="5173" xr:uid="{00000000-0005-0000-0000-000005410000}"/>
    <cellStyle name="Bemærk! 3 3 3 5 2" xfId="13994" xr:uid="{00000000-0005-0000-0000-000006410000}"/>
    <cellStyle name="Bemærk! 3 3 3 6" xfId="9587" xr:uid="{00000000-0005-0000-0000-000007410000}"/>
    <cellStyle name="Bemærk! 3 3 4" xfId="2067" xr:uid="{00000000-0005-0000-0000-000008410000}"/>
    <cellStyle name="Bemærk! 3 3 4 2" xfId="4076" xr:uid="{00000000-0005-0000-0000-000009410000}"/>
    <cellStyle name="Bemærk! 3 3 4 2 2" xfId="8484" xr:uid="{00000000-0005-0000-0000-00000A410000}"/>
    <cellStyle name="Bemærk! 3 3 4 2 2 2" xfId="17305" xr:uid="{00000000-0005-0000-0000-00000B410000}"/>
    <cellStyle name="Bemærk! 3 3 4 2 3" xfId="12898" xr:uid="{00000000-0005-0000-0000-00000C410000}"/>
    <cellStyle name="Bemærk! 3 3 4 3" xfId="6279" xr:uid="{00000000-0005-0000-0000-00000D410000}"/>
    <cellStyle name="Bemærk! 3 3 4 3 2" xfId="15100" xr:uid="{00000000-0005-0000-0000-00000E410000}"/>
    <cellStyle name="Bemærk! 3 3 4 4" xfId="10693" xr:uid="{00000000-0005-0000-0000-00000F410000}"/>
    <cellStyle name="Bemærk! 3 3 5" xfId="1425" xr:uid="{00000000-0005-0000-0000-000010410000}"/>
    <cellStyle name="Bemærk! 3 3 5 2" xfId="3352" xr:uid="{00000000-0005-0000-0000-000011410000}"/>
    <cellStyle name="Bemærk! 3 3 5 2 2" xfId="7746" xr:uid="{00000000-0005-0000-0000-000012410000}"/>
    <cellStyle name="Bemærk! 3 3 5 2 2 2" xfId="16567" xr:uid="{00000000-0005-0000-0000-000013410000}"/>
    <cellStyle name="Bemærk! 3 3 5 2 3" xfId="12160" xr:uid="{00000000-0005-0000-0000-000014410000}"/>
    <cellStyle name="Bemærk! 3 3 5 3" xfId="5541" xr:uid="{00000000-0005-0000-0000-000015410000}"/>
    <cellStyle name="Bemærk! 3 3 5 3 2" xfId="14362" xr:uid="{00000000-0005-0000-0000-000016410000}"/>
    <cellStyle name="Bemærk! 3 3 5 4" xfId="9955" xr:uid="{00000000-0005-0000-0000-000017410000}"/>
    <cellStyle name="Bemærk! 3 3 6" xfId="2616" xr:uid="{00000000-0005-0000-0000-000018410000}"/>
    <cellStyle name="Bemærk! 3 3 6 2" xfId="7009" xr:uid="{00000000-0005-0000-0000-000019410000}"/>
    <cellStyle name="Bemærk! 3 3 6 2 2" xfId="15830" xr:uid="{00000000-0005-0000-0000-00001A410000}"/>
    <cellStyle name="Bemærk! 3 3 6 3" xfId="11423" xr:uid="{00000000-0005-0000-0000-00001B410000}"/>
    <cellStyle name="Bemærk! 3 3 7" xfId="4804" xr:uid="{00000000-0005-0000-0000-00001C410000}"/>
    <cellStyle name="Bemærk! 3 3 7 2" xfId="13625" xr:uid="{00000000-0005-0000-0000-00001D410000}"/>
    <cellStyle name="Bemærk! 3 3 8" xfId="9218" xr:uid="{00000000-0005-0000-0000-00001E410000}"/>
    <cellStyle name="Bemærk! 3 3 9" xfId="28314" xr:uid="{00000000-0005-0000-0000-00001F410000}"/>
    <cellStyle name="Bemærk! 3 4" xfId="720" xr:uid="{00000000-0005-0000-0000-000020410000}"/>
    <cellStyle name="Bemærk! 3 4 2" xfId="1192" xr:uid="{00000000-0005-0000-0000-000021410000}"/>
    <cellStyle name="Bemærk! 3 4 2 2" xfId="2405" xr:uid="{00000000-0005-0000-0000-000022410000}"/>
    <cellStyle name="Bemærk! 3 4 2 2 2" xfId="4537" xr:uid="{00000000-0005-0000-0000-000023410000}"/>
    <cellStyle name="Bemærk! 3 4 2 2 2 2" xfId="8959" xr:uid="{00000000-0005-0000-0000-000024410000}"/>
    <cellStyle name="Bemærk! 3 4 2 2 2 2 2" xfId="17780" xr:uid="{00000000-0005-0000-0000-000025410000}"/>
    <cellStyle name="Bemærk! 3 4 2 2 2 3" xfId="13373" xr:uid="{00000000-0005-0000-0000-000026410000}"/>
    <cellStyle name="Bemærk! 3 4 2 2 3" xfId="6754" xr:uid="{00000000-0005-0000-0000-000027410000}"/>
    <cellStyle name="Bemærk! 3 4 2 2 3 2" xfId="15575" xr:uid="{00000000-0005-0000-0000-000028410000}"/>
    <cellStyle name="Bemærk! 3 4 2 2 4" xfId="11168" xr:uid="{00000000-0005-0000-0000-000029410000}"/>
    <cellStyle name="Bemærk! 3 4 2 3" xfId="1871" xr:uid="{00000000-0005-0000-0000-00002A410000}"/>
    <cellStyle name="Bemærk! 3 4 2 3 2" xfId="3827" xr:uid="{00000000-0005-0000-0000-00002B410000}"/>
    <cellStyle name="Bemærk! 3 4 2 3 2 2" xfId="8221" xr:uid="{00000000-0005-0000-0000-00002C410000}"/>
    <cellStyle name="Bemærk! 3 4 2 3 2 2 2" xfId="17042" xr:uid="{00000000-0005-0000-0000-00002D410000}"/>
    <cellStyle name="Bemærk! 3 4 2 3 2 3" xfId="12635" xr:uid="{00000000-0005-0000-0000-00002E410000}"/>
    <cellStyle name="Bemærk! 3 4 2 3 3" xfId="6016" xr:uid="{00000000-0005-0000-0000-00002F410000}"/>
    <cellStyle name="Bemærk! 3 4 2 3 3 2" xfId="14837" xr:uid="{00000000-0005-0000-0000-000030410000}"/>
    <cellStyle name="Bemærk! 3 4 2 3 4" xfId="10430" xr:uid="{00000000-0005-0000-0000-000031410000}"/>
    <cellStyle name="Bemærk! 3 4 2 4" xfId="3090" xr:uid="{00000000-0005-0000-0000-000032410000}"/>
    <cellStyle name="Bemærk! 3 4 2 4 2" xfId="7484" xr:uid="{00000000-0005-0000-0000-000033410000}"/>
    <cellStyle name="Bemærk! 3 4 2 4 2 2" xfId="16305" xr:uid="{00000000-0005-0000-0000-000034410000}"/>
    <cellStyle name="Bemærk! 3 4 2 4 3" xfId="11898" xr:uid="{00000000-0005-0000-0000-000035410000}"/>
    <cellStyle name="Bemærk! 3 4 2 5" xfId="5279" xr:uid="{00000000-0005-0000-0000-000036410000}"/>
    <cellStyle name="Bemærk! 3 4 2 5 2" xfId="14100" xr:uid="{00000000-0005-0000-0000-000037410000}"/>
    <cellStyle name="Bemærk! 3 4 2 6" xfId="9693" xr:uid="{00000000-0005-0000-0000-000038410000}"/>
    <cellStyle name="Bemærk! 3 4 3" xfId="2144" xr:uid="{00000000-0005-0000-0000-000039410000}"/>
    <cellStyle name="Bemærk! 3 4 3 2" xfId="4182" xr:uid="{00000000-0005-0000-0000-00003A410000}"/>
    <cellStyle name="Bemærk! 3 4 3 2 2" xfId="8590" xr:uid="{00000000-0005-0000-0000-00003B410000}"/>
    <cellStyle name="Bemærk! 3 4 3 2 2 2" xfId="17411" xr:uid="{00000000-0005-0000-0000-00003C410000}"/>
    <cellStyle name="Bemærk! 3 4 3 2 3" xfId="13004" xr:uid="{00000000-0005-0000-0000-00003D410000}"/>
    <cellStyle name="Bemærk! 3 4 3 3" xfId="6385" xr:uid="{00000000-0005-0000-0000-00003E410000}"/>
    <cellStyle name="Bemærk! 3 4 3 3 2" xfId="15206" xr:uid="{00000000-0005-0000-0000-00003F410000}"/>
    <cellStyle name="Bemærk! 3 4 3 4" xfId="10799" xr:uid="{00000000-0005-0000-0000-000040410000}"/>
    <cellStyle name="Bemærk! 3 4 4" xfId="1516" xr:uid="{00000000-0005-0000-0000-000041410000}"/>
    <cellStyle name="Bemærk! 3 4 4 2" xfId="3458" xr:uid="{00000000-0005-0000-0000-000042410000}"/>
    <cellStyle name="Bemærk! 3 4 4 2 2" xfId="7852" xr:uid="{00000000-0005-0000-0000-000043410000}"/>
    <cellStyle name="Bemærk! 3 4 4 2 2 2" xfId="16673" xr:uid="{00000000-0005-0000-0000-000044410000}"/>
    <cellStyle name="Bemærk! 3 4 4 2 3" xfId="12266" xr:uid="{00000000-0005-0000-0000-000045410000}"/>
    <cellStyle name="Bemærk! 3 4 4 3" xfId="5647" xr:uid="{00000000-0005-0000-0000-000046410000}"/>
    <cellStyle name="Bemærk! 3 4 4 3 2" xfId="14468" xr:uid="{00000000-0005-0000-0000-000047410000}"/>
    <cellStyle name="Bemærk! 3 4 4 4" xfId="10061" xr:uid="{00000000-0005-0000-0000-000048410000}"/>
    <cellStyle name="Bemærk! 3 4 5" xfId="2722" xr:uid="{00000000-0005-0000-0000-000049410000}"/>
    <cellStyle name="Bemærk! 3 4 5 2" xfId="7115" xr:uid="{00000000-0005-0000-0000-00004A410000}"/>
    <cellStyle name="Bemærk! 3 4 5 2 2" xfId="15936" xr:uid="{00000000-0005-0000-0000-00004B410000}"/>
    <cellStyle name="Bemærk! 3 4 5 3" xfId="11529" xr:uid="{00000000-0005-0000-0000-00004C410000}"/>
    <cellStyle name="Bemærk! 3 4 6" xfId="4910" xr:uid="{00000000-0005-0000-0000-00004D410000}"/>
    <cellStyle name="Bemærk! 3 4 6 2" xfId="13731" xr:uid="{00000000-0005-0000-0000-00004E410000}"/>
    <cellStyle name="Bemærk! 3 4 7" xfId="9324" xr:uid="{00000000-0005-0000-0000-00004F410000}"/>
    <cellStyle name="Bemærk! 3 4 8" xfId="28315" xr:uid="{00000000-0005-0000-0000-000050410000}"/>
    <cellStyle name="Bemærk! 3 4 9" xfId="29235" xr:uid="{00000000-0005-0000-0000-000051410000}"/>
    <cellStyle name="Bemærk! 3 5" xfId="1097" xr:uid="{00000000-0005-0000-0000-000052410000}"/>
    <cellStyle name="Bemærk! 3 5 2" xfId="2274" xr:uid="{00000000-0005-0000-0000-000053410000}"/>
    <cellStyle name="Bemærk! 3 5 2 2" xfId="4353" xr:uid="{00000000-0005-0000-0000-000054410000}"/>
    <cellStyle name="Bemærk! 3 5 2 2 2" xfId="8774" xr:uid="{00000000-0005-0000-0000-000055410000}"/>
    <cellStyle name="Bemærk! 3 5 2 2 2 2" xfId="17595" xr:uid="{00000000-0005-0000-0000-000056410000}"/>
    <cellStyle name="Bemærk! 3 5 2 2 3" xfId="13188" xr:uid="{00000000-0005-0000-0000-000057410000}"/>
    <cellStyle name="Bemærk! 3 5 2 3" xfId="6569" xr:uid="{00000000-0005-0000-0000-000058410000}"/>
    <cellStyle name="Bemærk! 3 5 2 3 2" xfId="15390" xr:uid="{00000000-0005-0000-0000-000059410000}"/>
    <cellStyle name="Bemærk! 3 5 2 4" xfId="10983" xr:uid="{00000000-0005-0000-0000-00005A410000}"/>
    <cellStyle name="Bemærk! 3 5 3" xfId="1687" xr:uid="{00000000-0005-0000-0000-00005B410000}"/>
    <cellStyle name="Bemærk! 3 5 3 2" xfId="3642" xr:uid="{00000000-0005-0000-0000-00005C410000}"/>
    <cellStyle name="Bemærk! 3 5 3 2 2" xfId="8036" xr:uid="{00000000-0005-0000-0000-00005D410000}"/>
    <cellStyle name="Bemærk! 3 5 3 2 2 2" xfId="16857" xr:uid="{00000000-0005-0000-0000-00005E410000}"/>
    <cellStyle name="Bemærk! 3 5 3 2 3" xfId="12450" xr:uid="{00000000-0005-0000-0000-00005F410000}"/>
    <cellStyle name="Bemærk! 3 5 3 3" xfId="5831" xr:uid="{00000000-0005-0000-0000-000060410000}"/>
    <cellStyle name="Bemærk! 3 5 3 3 2" xfId="14652" xr:uid="{00000000-0005-0000-0000-000061410000}"/>
    <cellStyle name="Bemærk! 3 5 3 4" xfId="10245" xr:uid="{00000000-0005-0000-0000-000062410000}"/>
    <cellStyle name="Bemærk! 3 5 4" xfId="2905" xr:uid="{00000000-0005-0000-0000-000063410000}"/>
    <cellStyle name="Bemærk! 3 5 4 2" xfId="7299" xr:uid="{00000000-0005-0000-0000-000064410000}"/>
    <cellStyle name="Bemærk! 3 5 4 2 2" xfId="16120" xr:uid="{00000000-0005-0000-0000-000065410000}"/>
    <cellStyle name="Bemærk! 3 5 4 3" xfId="11713" xr:uid="{00000000-0005-0000-0000-000066410000}"/>
    <cellStyle name="Bemærk! 3 5 5" xfId="5094" xr:uid="{00000000-0005-0000-0000-000067410000}"/>
    <cellStyle name="Bemærk! 3 5 5 2" xfId="13915" xr:uid="{00000000-0005-0000-0000-000068410000}"/>
    <cellStyle name="Bemærk! 3 5 6" xfId="9508" xr:uid="{00000000-0005-0000-0000-000069410000}"/>
    <cellStyle name="Bemærk! 3 6" xfId="2039" xr:uid="{00000000-0005-0000-0000-00006A410000}"/>
    <cellStyle name="Bemærk! 3 6 2" xfId="3998" xr:uid="{00000000-0005-0000-0000-00006B410000}"/>
    <cellStyle name="Bemærk! 3 6 2 2" xfId="8405" xr:uid="{00000000-0005-0000-0000-00006C410000}"/>
    <cellStyle name="Bemærk! 3 6 2 2 2" xfId="17226" xr:uid="{00000000-0005-0000-0000-00006D410000}"/>
    <cellStyle name="Bemærk! 3 6 2 3" xfId="12819" xr:uid="{00000000-0005-0000-0000-00006E410000}"/>
    <cellStyle name="Bemærk! 3 6 3" xfId="6200" xr:uid="{00000000-0005-0000-0000-00006F410000}"/>
    <cellStyle name="Bemærk! 3 6 3 2" xfId="15021" xr:uid="{00000000-0005-0000-0000-000070410000}"/>
    <cellStyle name="Bemærk! 3 6 4" xfId="10614" xr:uid="{00000000-0005-0000-0000-000071410000}"/>
    <cellStyle name="Bemærk! 3 7" xfId="1371" xr:uid="{00000000-0005-0000-0000-000072410000}"/>
    <cellStyle name="Bemærk! 3 7 2" xfId="3273" xr:uid="{00000000-0005-0000-0000-000073410000}"/>
    <cellStyle name="Bemærk! 3 7 2 2" xfId="7667" xr:uid="{00000000-0005-0000-0000-000074410000}"/>
    <cellStyle name="Bemærk! 3 7 2 2 2" xfId="16488" xr:uid="{00000000-0005-0000-0000-000075410000}"/>
    <cellStyle name="Bemærk! 3 7 2 3" xfId="12081" xr:uid="{00000000-0005-0000-0000-000076410000}"/>
    <cellStyle name="Bemærk! 3 7 3" xfId="5462" xr:uid="{00000000-0005-0000-0000-000077410000}"/>
    <cellStyle name="Bemærk! 3 7 3 2" xfId="14283" xr:uid="{00000000-0005-0000-0000-000078410000}"/>
    <cellStyle name="Bemærk! 3 7 4" xfId="9876" xr:uid="{00000000-0005-0000-0000-000079410000}"/>
    <cellStyle name="Bemærk! 3 8" xfId="2538" xr:uid="{00000000-0005-0000-0000-00007A410000}"/>
    <cellStyle name="Bemærk! 3 8 2" xfId="6927" xr:uid="{00000000-0005-0000-0000-00007B410000}"/>
    <cellStyle name="Bemærk! 3 8 2 2" xfId="15748" xr:uid="{00000000-0005-0000-0000-00007C410000}"/>
    <cellStyle name="Bemærk! 3 8 3" xfId="11341" xr:uid="{00000000-0005-0000-0000-00007D410000}"/>
    <cellStyle name="Bemærk! 3 9" xfId="4711" xr:uid="{00000000-0005-0000-0000-00007E410000}"/>
    <cellStyle name="Bemærk! 3 9 2" xfId="13543" xr:uid="{00000000-0005-0000-0000-00007F410000}"/>
    <cellStyle name="Bemærk! 4" xfId="264" xr:uid="{00000000-0005-0000-0000-000080410000}"/>
    <cellStyle name="Bemærk! 4 2" xfId="27341" xr:uid="{00000000-0005-0000-0000-000081410000}"/>
    <cellStyle name="Bemærk! 4 2 2" xfId="27482" xr:uid="{00000000-0005-0000-0000-000082410000}"/>
    <cellStyle name="Bemærk! 4 3" xfId="27475" xr:uid="{00000000-0005-0000-0000-000083410000}"/>
    <cellStyle name="Bemærk! 4 4" xfId="27333" xr:uid="{00000000-0005-0000-0000-000084410000}"/>
    <cellStyle name="Bemærk! 5" xfId="514" xr:uid="{00000000-0005-0000-0000-000085410000}"/>
    <cellStyle name="Bemærk! 5 2" xfId="17949" xr:uid="{00000000-0005-0000-0000-000086410000}"/>
    <cellStyle name="Bemærk! 5 2 2" xfId="27483" xr:uid="{00000000-0005-0000-0000-000087410000}"/>
    <cellStyle name="Bemærk! 5 3" xfId="17961" xr:uid="{00000000-0005-0000-0000-000088410000}"/>
    <cellStyle name="Bemærk! 5 4" xfId="17953" xr:uid="{00000000-0005-0000-0000-000089410000}"/>
    <cellStyle name="Bemærk! 5 5" xfId="17944" xr:uid="{00000000-0005-0000-0000-00008A410000}"/>
    <cellStyle name="Bemærk! 5 6" xfId="27343" xr:uid="{00000000-0005-0000-0000-00008B410000}"/>
    <cellStyle name="Bemærk! 5 6 2" xfId="29400" xr:uid="{00000000-0005-0000-0000-00008C410000}"/>
    <cellStyle name="Bemærk! 5 7" xfId="29236" xr:uid="{00000000-0005-0000-0000-00008D410000}"/>
    <cellStyle name="Bemærk! 6" xfId="9121" xr:uid="{00000000-0005-0000-0000-00008E410000}"/>
    <cellStyle name="Bemærk! 6 2" xfId="27281" xr:uid="{00000000-0005-0000-0000-00008F410000}"/>
    <cellStyle name="Bemærk! 6 2 2" xfId="27468" xr:uid="{00000000-0005-0000-0000-000090410000}"/>
    <cellStyle name="Bemærk! 6 3" xfId="27529" xr:uid="{00000000-0005-0000-0000-000091410000}"/>
    <cellStyle name="Bemærk! 7" xfId="27348" xr:uid="{00000000-0005-0000-0000-000092410000}"/>
    <cellStyle name="Bemærk! 7 2" xfId="27487" xr:uid="{00000000-0005-0000-0000-000093410000}"/>
    <cellStyle name="Bemærk! 7 3" xfId="29403" xr:uid="{00000000-0005-0000-0000-000094410000}"/>
    <cellStyle name="Bemærk! 8" xfId="27349" xr:uid="{00000000-0005-0000-0000-000095410000}"/>
    <cellStyle name="Bemærk! 8 2" xfId="29404" xr:uid="{00000000-0005-0000-0000-000096410000}"/>
    <cellStyle name="Bemærk! 9" xfId="27353" xr:uid="{00000000-0005-0000-0000-000097410000}"/>
    <cellStyle name="Bemærk! 9 2" xfId="29406" xr:uid="{00000000-0005-0000-0000-000098410000}"/>
    <cellStyle name="Beregning" xfId="13" builtinId="22" customBuiltin="1"/>
    <cellStyle name="Beregning 2" xfId="517" xr:uid="{00000000-0005-0000-0000-00009A410000}"/>
    <cellStyle name="Beregning 2 2" xfId="17991" xr:uid="{00000000-0005-0000-0000-00009B410000}"/>
    <cellStyle name="Beregning 2 2 2" xfId="27275" xr:uid="{00000000-0005-0000-0000-00009C410000}"/>
    <cellStyle name="Beregning 2 3" xfId="27383" xr:uid="{00000000-0005-0000-0000-00009D410000}"/>
    <cellStyle name="Beregning 3" xfId="516" xr:uid="{00000000-0005-0000-0000-00009E410000}"/>
    <cellStyle name="Beregning 3 2" xfId="17955" xr:uid="{00000000-0005-0000-0000-00009F410000}"/>
    <cellStyle name="Beregning 3 3" xfId="17960" xr:uid="{00000000-0005-0000-0000-0000A0410000}"/>
    <cellStyle name="Beregning 3 4" xfId="17951" xr:uid="{00000000-0005-0000-0000-0000A1410000}"/>
    <cellStyle name="Beregning 3 5" xfId="17963" xr:uid="{00000000-0005-0000-0000-0000A2410000}"/>
    <cellStyle name="Beregning 3 6" xfId="18301" xr:uid="{00000000-0005-0000-0000-0000A3410000}"/>
    <cellStyle name="Beregning 3 7" xfId="28317" xr:uid="{00000000-0005-0000-0000-0000A4410000}"/>
    <cellStyle name="Beregning 3 8" xfId="29238" xr:uid="{00000000-0005-0000-0000-0000A5410000}"/>
    <cellStyle name="Beregning 4" xfId="18353" xr:uid="{00000000-0005-0000-0000-0000A6410000}"/>
    <cellStyle name="Beregning 4 2" xfId="19673" xr:uid="{00000000-0005-0000-0000-0000A7410000}"/>
    <cellStyle name="Beregning 4 3" xfId="27552" xr:uid="{00000000-0005-0000-0000-0000A8410000}"/>
    <cellStyle name="Beregning 5" xfId="28316" xr:uid="{00000000-0005-0000-0000-0000A9410000}"/>
    <cellStyle name="Beregning 6" xfId="29237" xr:uid="{00000000-0005-0000-0000-0000AA410000}"/>
    <cellStyle name="Calculation" xfId="18012" xr:uid="{00000000-0005-0000-0000-0000AB410000}"/>
    <cellStyle name="Check Cell" xfId="18037" xr:uid="{00000000-0005-0000-0000-0000AC410000}"/>
    <cellStyle name="Comma 2" xfId="48" xr:uid="{00000000-0005-0000-0000-0000AD410000}"/>
    <cellStyle name="Comma 2 2" xfId="27295" xr:uid="{00000000-0005-0000-0000-0000AE410000}"/>
    <cellStyle name="Emphasis 1" xfId="27385" xr:uid="{00000000-0005-0000-0000-0000AF410000}"/>
    <cellStyle name="Emphasis 2" xfId="27386" xr:uid="{00000000-0005-0000-0000-0000B0410000}"/>
    <cellStyle name="Emphasis 3" xfId="27387" xr:uid="{00000000-0005-0000-0000-0000B1410000}"/>
    <cellStyle name="Explanatory Text" xfId="17968" xr:uid="{00000000-0005-0000-0000-0000B2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A410000}"/>
    <cellStyle name="Forklarende tekst 2 2" xfId="17992" xr:uid="{00000000-0005-0000-0000-0000BB410000}"/>
    <cellStyle name="Forklarende tekst 2 2 2" xfId="27267" xr:uid="{00000000-0005-0000-0000-0000BC410000}"/>
    <cellStyle name="Forklarende tekst 3" xfId="518" xr:uid="{00000000-0005-0000-0000-0000BD410000}"/>
    <cellStyle name="Forklarende tekst 4" xfId="18489" xr:uid="{00000000-0005-0000-0000-0000BE410000}"/>
    <cellStyle name="God" xfId="8" builtinId="26" customBuiltin="1"/>
    <cellStyle name="God 2" xfId="521" xr:uid="{00000000-0005-0000-0000-0000C0410000}"/>
    <cellStyle name="God 2 2" xfId="17993" xr:uid="{00000000-0005-0000-0000-0000C1410000}"/>
    <cellStyle name="God 2 2 2" xfId="27248" xr:uid="{00000000-0005-0000-0000-0000C2410000}"/>
    <cellStyle name="God 2 3" xfId="27388" xr:uid="{00000000-0005-0000-0000-0000C3410000}"/>
    <cellStyle name="God 3" xfId="520" xr:uid="{00000000-0005-0000-0000-0000C4410000}"/>
    <cellStyle name="God 3 2" xfId="18302" xr:uid="{00000000-0005-0000-0000-0000C5410000}"/>
    <cellStyle name="God 4" xfId="18354" xr:uid="{00000000-0005-0000-0000-0000C6410000}"/>
    <cellStyle name="God 4 2" xfId="27252" xr:uid="{00000000-0005-0000-0000-0000C7410000}"/>
    <cellStyle name="Good" xfId="18044" xr:uid="{00000000-0005-0000-0000-0000C8410000}"/>
    <cellStyle name="Heading 1" xfId="18045" xr:uid="{00000000-0005-0000-0000-0000C9410000}"/>
    <cellStyle name="Heading 2" xfId="18046" xr:uid="{00000000-0005-0000-0000-0000CA410000}"/>
    <cellStyle name="Heading 3" xfId="18047" xr:uid="{00000000-0005-0000-0000-0000CB410000}"/>
    <cellStyle name="Heading 4" xfId="18048" xr:uid="{00000000-0005-0000-0000-0000CC410000}"/>
    <cellStyle name="Hyperlink 2" xfId="18059" xr:uid="{00000000-0005-0000-0000-0000CD410000}"/>
    <cellStyle name="Hyperlink 3" xfId="18162" xr:uid="{00000000-0005-0000-0000-0000CE410000}"/>
    <cellStyle name="Hyperlink 4" xfId="18170" xr:uid="{00000000-0005-0000-0000-0000CF410000}"/>
    <cellStyle name="Hyperlink 4 2" xfId="18172" xr:uid="{00000000-0005-0000-0000-0000D0410000}"/>
    <cellStyle name="Hyperlink 4 3" xfId="18185" xr:uid="{00000000-0005-0000-0000-0000D1410000}"/>
    <cellStyle name="Hyperlink 4 3 2" xfId="18192" xr:uid="{00000000-0005-0000-0000-0000D2410000}"/>
    <cellStyle name="Hyperlink 4 3 3" xfId="18193" xr:uid="{00000000-0005-0000-0000-0000D3410000}"/>
    <cellStyle name="Hyperlink 4 3 3 2" xfId="18196" xr:uid="{00000000-0005-0000-0000-0000D4410000}"/>
    <cellStyle name="Hyperlink 4 3 3 3" xfId="18227" xr:uid="{00000000-0005-0000-0000-0000D5410000}"/>
    <cellStyle name="Hyperlink 4 3 3 3 2" xfId="18228" xr:uid="{00000000-0005-0000-0000-0000D6410000}"/>
    <cellStyle name="Hyperlink 4 3 3 3_Fordelinger" xfId="18615" xr:uid="{00000000-0005-0000-0000-0000D7410000}"/>
    <cellStyle name="Hyperlink 4 3 3_Fordelinger" xfId="18616" xr:uid="{00000000-0005-0000-0000-0000D8410000}"/>
    <cellStyle name="Hyperlink 4 3 4" xfId="18229" xr:uid="{00000000-0005-0000-0000-0000D9410000}"/>
    <cellStyle name="Hyperlink 4 3 4 2" xfId="18230" xr:uid="{00000000-0005-0000-0000-0000DA410000}"/>
    <cellStyle name="Hyperlink 4 3 4_Fordelinger" xfId="18617" xr:uid="{00000000-0005-0000-0000-0000DB410000}"/>
    <cellStyle name="Hyperlink 4_Fordelinger" xfId="18618" xr:uid="{00000000-0005-0000-0000-0000DC410000}"/>
    <cellStyle name="Hyperlink 5" xfId="18231" xr:uid="{00000000-0005-0000-0000-0000DD410000}"/>
    <cellStyle name="Hyperlink 5 2" xfId="18232" xr:uid="{00000000-0005-0000-0000-0000DE410000}"/>
    <cellStyle name="Hyperlink 5_Fordelinger" xfId="18619" xr:uid="{00000000-0005-0000-0000-0000DF410000}"/>
    <cellStyle name="Hyperlink_Lab ydelser_Anæstesi 2011_1" xfId="18049" xr:uid="{00000000-0005-0000-0000-0000E0410000}"/>
    <cellStyle name="Input" xfId="11" builtinId="20" customBuiltin="1"/>
    <cellStyle name="Input 2" xfId="523" xr:uid="{00000000-0005-0000-0000-0000E2410000}"/>
    <cellStyle name="Input 2 2" xfId="17994" xr:uid="{00000000-0005-0000-0000-0000E3410000}"/>
    <cellStyle name="Input 2 2 2" xfId="27282" xr:uid="{00000000-0005-0000-0000-0000E4410000}"/>
    <cellStyle name="Input 2 3" xfId="18163" xr:uid="{00000000-0005-0000-0000-0000E5410000}"/>
    <cellStyle name="Input 2 4" xfId="27393" xr:uid="{00000000-0005-0000-0000-0000E6410000}"/>
    <cellStyle name="Input 3" xfId="522" xr:uid="{00000000-0005-0000-0000-0000E7410000}"/>
    <cellStyle name="Input 3 2" xfId="17948" xr:uid="{00000000-0005-0000-0000-0000E8410000}"/>
    <cellStyle name="Input 3 3" xfId="17950" xr:uid="{00000000-0005-0000-0000-0000E9410000}"/>
    <cellStyle name="Input 3 4" xfId="17956" xr:uid="{00000000-0005-0000-0000-0000EA410000}"/>
    <cellStyle name="Input 3 5" xfId="17946" xr:uid="{00000000-0005-0000-0000-0000EB410000}"/>
    <cellStyle name="Input 3 6" xfId="18186" xr:uid="{00000000-0005-0000-0000-0000EC410000}"/>
    <cellStyle name="Input 3 7" xfId="28319" xr:uid="{00000000-0005-0000-0000-0000ED410000}"/>
    <cellStyle name="Input 3 8" xfId="29240" xr:uid="{00000000-0005-0000-0000-0000EE410000}"/>
    <cellStyle name="Input 4" xfId="18233" xr:uid="{00000000-0005-0000-0000-0000EF410000}"/>
    <cellStyle name="Input 4 2" xfId="27289" xr:uid="{00000000-0005-0000-0000-0000F0410000}"/>
    <cellStyle name="Input 4 3" xfId="27549" xr:uid="{00000000-0005-0000-0000-0000F1410000}"/>
    <cellStyle name="Input 5" xfId="18303" xr:uid="{00000000-0005-0000-0000-0000F2410000}"/>
    <cellStyle name="Input 6" xfId="18355" xr:uid="{00000000-0005-0000-0000-0000F3410000}"/>
    <cellStyle name="Input 7" xfId="18050" xr:uid="{00000000-0005-0000-0000-0000F4410000}"/>
    <cellStyle name="Input 8" xfId="28318" xr:uid="{00000000-0005-0000-0000-0000F5410000}"/>
    <cellStyle name="Input 9" xfId="29239" xr:uid="{00000000-0005-0000-0000-0000F6410000}"/>
    <cellStyle name="Komma" xfId="1" xr:uid="{00000000-0005-0000-0000-0000F7410000}"/>
    <cellStyle name="Komma 10" xfId="1228" xr:uid="{00000000-0005-0000-0000-0000F8410000}"/>
    <cellStyle name="Komma 10 2" xfId="27296" xr:uid="{00000000-0005-0000-0000-0000F9410000}"/>
    <cellStyle name="Komma 10 2 2" xfId="27555" xr:uid="{00000000-0005-0000-0000-0000FA410000}"/>
    <cellStyle name="Komma 10 3" xfId="29446" xr:uid="{00000000-0005-0000-0000-0000FB410000}"/>
    <cellStyle name="Komma 11" xfId="1258" xr:uid="{00000000-0005-0000-0000-0000FC410000}"/>
    <cellStyle name="Komma 11 2" xfId="29454" xr:uid="{00000000-0005-0000-0000-0000FD410000}"/>
    <cellStyle name="Komma 11 2 2 2 2" xfId="27316" xr:uid="{00000000-0005-0000-0000-0000FE410000}"/>
    <cellStyle name="Komma 11 2 2 2 2 2" xfId="27465" xr:uid="{00000000-0005-0000-0000-0000FF410000}"/>
    <cellStyle name="Komma 11 2 2 2 2 3" xfId="27493" xr:uid="{00000000-0005-0000-0000-000000420000}"/>
    <cellStyle name="Komma 12" xfId="1255" xr:uid="{00000000-0005-0000-0000-000001420000}"/>
    <cellStyle name="Komma 12 2" xfId="27350" xr:uid="{00000000-0005-0000-0000-000002420000}"/>
    <cellStyle name="Komma 12 3" xfId="29453" xr:uid="{00000000-0005-0000-0000-000003420000}"/>
    <cellStyle name="Komma 13" xfId="1246" xr:uid="{00000000-0005-0000-0000-000004420000}"/>
    <cellStyle name="Komma 13 2" xfId="1251" xr:uid="{00000000-0005-0000-0000-000005420000}"/>
    <cellStyle name="Komma 13 2 2" xfId="2393" xr:uid="{00000000-0005-0000-0000-000006420000}"/>
    <cellStyle name="Komma 13 2 2 2" xfId="4511" xr:uid="{00000000-0005-0000-0000-000007420000}"/>
    <cellStyle name="Komma 13 2 2 2 2" xfId="8933" xr:uid="{00000000-0005-0000-0000-000008420000}"/>
    <cellStyle name="Komma 13 2 2 2 2 2" xfId="17754" xr:uid="{00000000-0005-0000-0000-000009420000}"/>
    <cellStyle name="Komma 13 2 2 2 2 2 2" xfId="29711" xr:uid="{00000000-0005-0000-0000-00000A420000}"/>
    <cellStyle name="Komma 13 2 2 2 2 3" xfId="29583" xr:uid="{00000000-0005-0000-0000-00000B420000}"/>
    <cellStyle name="Komma 13 2 2 2 3" xfId="13347" xr:uid="{00000000-0005-0000-0000-00000C420000}"/>
    <cellStyle name="Komma 13 2 2 2 3 2" xfId="29648" xr:uid="{00000000-0005-0000-0000-00000D420000}"/>
    <cellStyle name="Komma 13 2 2 2 4" xfId="29513" xr:uid="{00000000-0005-0000-0000-00000E420000}"/>
    <cellStyle name="Komma 13 2 2 3" xfId="6728" xr:uid="{00000000-0005-0000-0000-00000F420000}"/>
    <cellStyle name="Komma 13 2 2 3 2" xfId="15549" xr:uid="{00000000-0005-0000-0000-000010420000}"/>
    <cellStyle name="Komma 13 2 2 3 2 2" xfId="29679" xr:uid="{00000000-0005-0000-0000-000011420000}"/>
    <cellStyle name="Komma 13 2 2 3 3" xfId="29551" xr:uid="{00000000-0005-0000-0000-000012420000}"/>
    <cellStyle name="Komma 13 2 2 4" xfId="11142" xr:uid="{00000000-0005-0000-0000-000013420000}"/>
    <cellStyle name="Komma 13 2 2 4 2" xfId="29616" xr:uid="{00000000-0005-0000-0000-000014420000}"/>
    <cellStyle name="Komma 13 2 2 5" xfId="29481" xr:uid="{00000000-0005-0000-0000-000015420000}"/>
    <cellStyle name="Komma 13 2 3" xfId="1845" xr:uid="{00000000-0005-0000-0000-000016420000}"/>
    <cellStyle name="Komma 13 2 3 2" xfId="3801" xr:uid="{00000000-0005-0000-0000-000017420000}"/>
    <cellStyle name="Komma 13 2 3 2 2" xfId="8195" xr:uid="{00000000-0005-0000-0000-000018420000}"/>
    <cellStyle name="Komma 13 2 3 2 2 2" xfId="17016" xr:uid="{00000000-0005-0000-0000-000019420000}"/>
    <cellStyle name="Komma 13 2 3 2 2 2 2" xfId="29701" xr:uid="{00000000-0005-0000-0000-00001A420000}"/>
    <cellStyle name="Komma 13 2 3 2 2 3" xfId="29573" xr:uid="{00000000-0005-0000-0000-00001B420000}"/>
    <cellStyle name="Komma 13 2 3 2 3" xfId="12609" xr:uid="{00000000-0005-0000-0000-00001C420000}"/>
    <cellStyle name="Komma 13 2 3 2 3 2" xfId="29638" xr:uid="{00000000-0005-0000-0000-00001D420000}"/>
    <cellStyle name="Komma 13 2 3 2 4" xfId="29503" xr:uid="{00000000-0005-0000-0000-00001E420000}"/>
    <cellStyle name="Komma 13 2 3 3" xfId="5990" xr:uid="{00000000-0005-0000-0000-00001F420000}"/>
    <cellStyle name="Komma 13 2 3 3 2" xfId="14811" xr:uid="{00000000-0005-0000-0000-000020420000}"/>
    <cellStyle name="Komma 13 2 3 3 2 2" xfId="29669" xr:uid="{00000000-0005-0000-0000-000021420000}"/>
    <cellStyle name="Komma 13 2 3 3 3" xfId="29541" xr:uid="{00000000-0005-0000-0000-000022420000}"/>
    <cellStyle name="Komma 13 2 3 4" xfId="10404" xr:uid="{00000000-0005-0000-0000-000023420000}"/>
    <cellStyle name="Komma 13 2 3 4 2" xfId="29606" xr:uid="{00000000-0005-0000-0000-000024420000}"/>
    <cellStyle name="Komma 13 2 3 5" xfId="29471" xr:uid="{00000000-0005-0000-0000-000025420000}"/>
    <cellStyle name="Komma 13 2 4" xfId="3064" xr:uid="{00000000-0005-0000-0000-000026420000}"/>
    <cellStyle name="Komma 13 2 4 2" xfId="7458" xr:uid="{00000000-0005-0000-0000-000027420000}"/>
    <cellStyle name="Komma 13 2 4 2 2" xfId="16279" xr:uid="{00000000-0005-0000-0000-000028420000}"/>
    <cellStyle name="Komma 13 2 4 2 2 2" xfId="29691" xr:uid="{00000000-0005-0000-0000-000029420000}"/>
    <cellStyle name="Komma 13 2 4 2 3" xfId="29563" xr:uid="{00000000-0005-0000-0000-00002A420000}"/>
    <cellStyle name="Komma 13 2 4 3" xfId="11872" xr:uid="{00000000-0005-0000-0000-00002B420000}"/>
    <cellStyle name="Komma 13 2 4 3 2" xfId="29628" xr:uid="{00000000-0005-0000-0000-00002C420000}"/>
    <cellStyle name="Komma 13 2 4 4" xfId="29493" xr:uid="{00000000-0005-0000-0000-00002D420000}"/>
    <cellStyle name="Komma 13 2 5" xfId="5253" xr:uid="{00000000-0005-0000-0000-00002E420000}"/>
    <cellStyle name="Komma 13 2 5 2" xfId="14074" xr:uid="{00000000-0005-0000-0000-00002F420000}"/>
    <cellStyle name="Komma 13 2 5 2 2" xfId="29659" xr:uid="{00000000-0005-0000-0000-000030420000}"/>
    <cellStyle name="Komma 13 2 5 3" xfId="29531" xr:uid="{00000000-0005-0000-0000-000031420000}"/>
    <cellStyle name="Komma 13 2 6" xfId="9667" xr:uid="{00000000-0005-0000-0000-000032420000}"/>
    <cellStyle name="Komma 13 2 6 2" xfId="29596" xr:uid="{00000000-0005-0000-0000-000033420000}"/>
    <cellStyle name="Komma 13 2 7" xfId="27458" xr:uid="{00000000-0005-0000-0000-000034420000}"/>
    <cellStyle name="Komma 13 2 8" xfId="29452" xr:uid="{00000000-0005-0000-0000-000035420000}"/>
    <cellStyle name="Komma 13 3" xfId="2132" xr:uid="{00000000-0005-0000-0000-000036420000}"/>
    <cellStyle name="Komma 13 3 2" xfId="4156" xr:uid="{00000000-0005-0000-0000-000037420000}"/>
    <cellStyle name="Komma 13 3 2 2" xfId="8564" xr:uid="{00000000-0005-0000-0000-000038420000}"/>
    <cellStyle name="Komma 13 3 2 2 2" xfId="17385" xr:uid="{00000000-0005-0000-0000-000039420000}"/>
    <cellStyle name="Komma 13 3 2 2 2 2" xfId="29706" xr:uid="{00000000-0005-0000-0000-00003A420000}"/>
    <cellStyle name="Komma 13 3 2 2 3" xfId="29578" xr:uid="{00000000-0005-0000-0000-00003B420000}"/>
    <cellStyle name="Komma 13 3 2 3" xfId="12978" xr:uid="{00000000-0005-0000-0000-00003C420000}"/>
    <cellStyle name="Komma 13 3 2 3 2" xfId="29643" xr:uid="{00000000-0005-0000-0000-00003D420000}"/>
    <cellStyle name="Komma 13 3 2 4" xfId="29508" xr:uid="{00000000-0005-0000-0000-00003E420000}"/>
    <cellStyle name="Komma 13 3 3" xfId="6359" xr:uid="{00000000-0005-0000-0000-00003F420000}"/>
    <cellStyle name="Komma 13 3 3 2" xfId="15180" xr:uid="{00000000-0005-0000-0000-000040420000}"/>
    <cellStyle name="Komma 13 3 3 2 2" xfId="29674" xr:uid="{00000000-0005-0000-0000-000041420000}"/>
    <cellStyle name="Komma 13 3 3 3" xfId="29546" xr:uid="{00000000-0005-0000-0000-000042420000}"/>
    <cellStyle name="Komma 13 3 4" xfId="10773" xr:uid="{00000000-0005-0000-0000-000043420000}"/>
    <cellStyle name="Komma 13 3 4 2" xfId="29611" xr:uid="{00000000-0005-0000-0000-000044420000}"/>
    <cellStyle name="Komma 13 3 5" xfId="29476" xr:uid="{00000000-0005-0000-0000-000045420000}"/>
    <cellStyle name="Komma 13 4" xfId="1490" xr:uid="{00000000-0005-0000-0000-000046420000}"/>
    <cellStyle name="Komma 13 4 2" xfId="3432" xr:uid="{00000000-0005-0000-0000-000047420000}"/>
    <cellStyle name="Komma 13 4 2 2" xfId="7826" xr:uid="{00000000-0005-0000-0000-000048420000}"/>
    <cellStyle name="Komma 13 4 2 2 2" xfId="16647" xr:uid="{00000000-0005-0000-0000-000049420000}"/>
    <cellStyle name="Komma 13 4 2 2 2 2" xfId="29696" xr:uid="{00000000-0005-0000-0000-00004A420000}"/>
    <cellStyle name="Komma 13 4 2 2 3" xfId="29568" xr:uid="{00000000-0005-0000-0000-00004B420000}"/>
    <cellStyle name="Komma 13 4 2 3" xfId="12240" xr:uid="{00000000-0005-0000-0000-00004C420000}"/>
    <cellStyle name="Komma 13 4 2 3 2" xfId="29633" xr:uid="{00000000-0005-0000-0000-00004D420000}"/>
    <cellStyle name="Komma 13 4 2 4" xfId="29498" xr:uid="{00000000-0005-0000-0000-00004E420000}"/>
    <cellStyle name="Komma 13 4 3" xfId="5621" xr:uid="{00000000-0005-0000-0000-00004F420000}"/>
    <cellStyle name="Komma 13 4 3 2" xfId="14442" xr:uid="{00000000-0005-0000-0000-000050420000}"/>
    <cellStyle name="Komma 13 4 3 2 2" xfId="29664" xr:uid="{00000000-0005-0000-0000-000051420000}"/>
    <cellStyle name="Komma 13 4 3 3" xfId="29536" xr:uid="{00000000-0005-0000-0000-000052420000}"/>
    <cellStyle name="Komma 13 4 4" xfId="10035" xr:uid="{00000000-0005-0000-0000-000053420000}"/>
    <cellStyle name="Komma 13 4 4 2" xfId="29601" xr:uid="{00000000-0005-0000-0000-000054420000}"/>
    <cellStyle name="Komma 13 4 5" xfId="29466" xr:uid="{00000000-0005-0000-0000-000055420000}"/>
    <cellStyle name="Komma 13 5" xfId="2696" xr:uid="{00000000-0005-0000-0000-000056420000}"/>
    <cellStyle name="Komma 13 5 2" xfId="7089" xr:uid="{00000000-0005-0000-0000-000057420000}"/>
    <cellStyle name="Komma 13 5 2 2" xfId="15910" xr:uid="{00000000-0005-0000-0000-000058420000}"/>
    <cellStyle name="Komma 13 5 2 2 2" xfId="29686" xr:uid="{00000000-0005-0000-0000-000059420000}"/>
    <cellStyle name="Komma 13 5 2 3" xfId="29558" xr:uid="{00000000-0005-0000-0000-00005A420000}"/>
    <cellStyle name="Komma 13 5 3" xfId="11503" xr:uid="{00000000-0005-0000-0000-00005B420000}"/>
    <cellStyle name="Komma 13 5 3 2" xfId="29623" xr:uid="{00000000-0005-0000-0000-00005C420000}"/>
    <cellStyle name="Komma 13 5 4" xfId="29488" xr:uid="{00000000-0005-0000-0000-00005D420000}"/>
    <cellStyle name="Komma 13 6" xfId="4884" xr:uid="{00000000-0005-0000-0000-00005E420000}"/>
    <cellStyle name="Komma 13 6 2" xfId="13705" xr:uid="{00000000-0005-0000-0000-00005F420000}"/>
    <cellStyle name="Komma 13 6 2 2" xfId="29654" xr:uid="{00000000-0005-0000-0000-000060420000}"/>
    <cellStyle name="Komma 13 6 3" xfId="29526" xr:uid="{00000000-0005-0000-0000-000061420000}"/>
    <cellStyle name="Komma 13 7" xfId="9298" xr:uid="{00000000-0005-0000-0000-000062420000}"/>
    <cellStyle name="Komma 13 7 2" xfId="29591" xr:uid="{00000000-0005-0000-0000-000063420000}"/>
    <cellStyle name="Komma 13 8" xfId="27354" xr:uid="{00000000-0005-0000-0000-000064420000}"/>
    <cellStyle name="Komma 13 9" xfId="29450" xr:uid="{00000000-0005-0000-0000-000065420000}"/>
    <cellStyle name="Komma 14" xfId="1295" xr:uid="{00000000-0005-0000-0000-000066420000}"/>
    <cellStyle name="Komma 14 2" xfId="29460" xr:uid="{00000000-0005-0000-0000-000067420000}"/>
    <cellStyle name="Komma 15" xfId="2524" xr:uid="{00000000-0005-0000-0000-000068420000}"/>
    <cellStyle name="Komma 15 2" xfId="6913" xr:uid="{00000000-0005-0000-0000-000069420000}"/>
    <cellStyle name="Komma 15 2 2" xfId="15734" xr:uid="{00000000-0005-0000-0000-00006A420000}"/>
    <cellStyle name="Komma 15 2 2 2" xfId="29682" xr:uid="{00000000-0005-0000-0000-00006B420000}"/>
    <cellStyle name="Komma 15 2 3" xfId="29554" xr:uid="{00000000-0005-0000-0000-00006C420000}"/>
    <cellStyle name="Komma 15 3" xfId="11327" xr:uid="{00000000-0005-0000-0000-00006D420000}"/>
    <cellStyle name="Komma 15 3 2" xfId="29619" xr:uid="{00000000-0005-0000-0000-00006E420000}"/>
    <cellStyle name="Komma 15 4" xfId="29484" xr:uid="{00000000-0005-0000-0000-00006F420000}"/>
    <cellStyle name="Komma 16" xfId="4695" xr:uid="{00000000-0005-0000-0000-000070420000}"/>
    <cellStyle name="Komma 16 2" xfId="29517" xr:uid="{00000000-0005-0000-0000-000071420000}"/>
    <cellStyle name="Komma 17" xfId="4712" xr:uid="{00000000-0005-0000-0000-000072420000}"/>
    <cellStyle name="Komma 17 2" xfId="9118" xr:uid="{00000000-0005-0000-0000-000073420000}"/>
    <cellStyle name="Komma 17 2 2" xfId="29586" xr:uid="{00000000-0005-0000-0000-000074420000}"/>
    <cellStyle name="Komma 17 3" xfId="29518" xr:uid="{00000000-0005-0000-0000-000075420000}"/>
    <cellStyle name="Komma 18" xfId="4722" xr:uid="{00000000-0005-0000-0000-000076420000}"/>
    <cellStyle name="Komma 18 2" xfId="29521" xr:uid="{00000000-0005-0000-0000-000077420000}"/>
    <cellStyle name="Komma 19" xfId="9126" xr:uid="{00000000-0005-0000-0000-000078420000}"/>
    <cellStyle name="Komma 19 2" xfId="29588" xr:uid="{00000000-0005-0000-0000-000079420000}"/>
    <cellStyle name="Komma 2" xfId="2" xr:uid="{00000000-0005-0000-0000-00007A420000}"/>
    <cellStyle name="Komma 2 10" xfId="29416" xr:uid="{00000000-0005-0000-0000-00007B420000}"/>
    <cellStyle name="Komma 2 2" xfId="57" xr:uid="{00000000-0005-0000-0000-00007C420000}"/>
    <cellStyle name="Komma 2 2 2" xfId="6928" xr:uid="{00000000-0005-0000-0000-00007D420000}"/>
    <cellStyle name="Komma 2 2 2 2" xfId="15749" xr:uid="{00000000-0005-0000-0000-00007E420000}"/>
    <cellStyle name="Komma 2 2 2 2 2" xfId="29683" xr:uid="{00000000-0005-0000-0000-00007F420000}"/>
    <cellStyle name="Komma 2 2 2 3" xfId="19444" xr:uid="{00000000-0005-0000-0000-000080420000}"/>
    <cellStyle name="Komma 2 2 2 3 2" xfId="29751" xr:uid="{00000000-0005-0000-0000-000081420000}"/>
    <cellStyle name="Komma 2 2 2 4" xfId="29555" xr:uid="{00000000-0005-0000-0000-000082420000}"/>
    <cellStyle name="Komma 2 2 3" xfId="11342" xr:uid="{00000000-0005-0000-0000-000083420000}"/>
    <cellStyle name="Komma 2 2 3 2" xfId="29620" xr:uid="{00000000-0005-0000-0000-000084420000}"/>
    <cellStyle name="Komma 2 2 4" xfId="2539" xr:uid="{00000000-0005-0000-0000-000085420000}"/>
    <cellStyle name="Komma 2 2 4 2" xfId="29485" xr:uid="{00000000-0005-0000-0000-000086420000}"/>
    <cellStyle name="Komma 2 2 5" xfId="17995" xr:uid="{00000000-0005-0000-0000-000087420000}"/>
    <cellStyle name="Komma 2 2 5 2" xfId="29722" xr:uid="{00000000-0005-0000-0000-000088420000}"/>
    <cellStyle name="Komma 2 2 6" xfId="29421" xr:uid="{00000000-0005-0000-0000-000089420000}"/>
    <cellStyle name="Komma 2 3" xfId="56" xr:uid="{00000000-0005-0000-0000-00008A420000}"/>
    <cellStyle name="Komma 2 3 2" xfId="13544" xr:uid="{00000000-0005-0000-0000-00008B420000}"/>
    <cellStyle name="Komma 2 3 2 2" xfId="29651" xr:uid="{00000000-0005-0000-0000-00008C420000}"/>
    <cellStyle name="Komma 2 3 3" xfId="4713" xr:uid="{00000000-0005-0000-0000-00008D420000}"/>
    <cellStyle name="Komma 2 3 3 2" xfId="29519" xr:uid="{00000000-0005-0000-0000-00008E420000}"/>
    <cellStyle name="Komma 2 3 4" xfId="29420" xr:uid="{00000000-0005-0000-0000-00008F420000}"/>
    <cellStyle name="Komma 2 4" xfId="524" xr:uid="{00000000-0005-0000-0000-000090420000}"/>
    <cellStyle name="Komma 2 4 2" xfId="4723" xr:uid="{00000000-0005-0000-0000-000091420000}"/>
    <cellStyle name="Komma 2 4 2 2" xfId="29522" xr:uid="{00000000-0005-0000-0000-000092420000}"/>
    <cellStyle name="Komma 2 4 3" xfId="28322" xr:uid="{00000000-0005-0000-0000-000093420000}"/>
    <cellStyle name="Komma 2 4 4" xfId="29242" xr:uid="{00000000-0005-0000-0000-000094420000}"/>
    <cellStyle name="Komma 2 4 5" xfId="29429" xr:uid="{00000000-0005-0000-0000-000095420000}"/>
    <cellStyle name="Komma 2 5" xfId="53" xr:uid="{00000000-0005-0000-0000-000096420000}"/>
    <cellStyle name="Komma 2 5 2" xfId="27502" xr:uid="{00000000-0005-0000-0000-000097420000}"/>
    <cellStyle name="Komma 2 5 3" xfId="27537" xr:uid="{00000000-0005-0000-0000-000098420000}"/>
    <cellStyle name="Komma 2 5 4" xfId="29419" xr:uid="{00000000-0005-0000-0000-000099420000}"/>
    <cellStyle name="Komma 2 6" xfId="27284" xr:uid="{00000000-0005-0000-0000-00009A420000}"/>
    <cellStyle name="Komma 2 6 2" xfId="29765" xr:uid="{00000000-0005-0000-0000-00009B420000}"/>
    <cellStyle name="Komma 2 7" xfId="27499" xr:uid="{00000000-0005-0000-0000-00009C420000}"/>
    <cellStyle name="Komma 2 8" xfId="28321" xr:uid="{00000000-0005-0000-0000-00009D420000}"/>
    <cellStyle name="Komma 2 9" xfId="29241" xr:uid="{00000000-0005-0000-0000-00009E420000}"/>
    <cellStyle name="Komma 20" xfId="17938" xr:uid="{00000000-0005-0000-0000-00009F420000}"/>
    <cellStyle name="Komma 20 2" xfId="17941" xr:uid="{00000000-0005-0000-0000-0000A0420000}"/>
    <cellStyle name="Komma 20 2 2" xfId="29715" xr:uid="{00000000-0005-0000-0000-0000A1420000}"/>
    <cellStyle name="Komma 20 3" xfId="29714" xr:uid="{00000000-0005-0000-0000-0000A2420000}"/>
    <cellStyle name="Komma 21" xfId="28320" xr:uid="{00000000-0005-0000-0000-0000A3420000}"/>
    <cellStyle name="Komma 22" xfId="27497" xr:uid="{00000000-0005-0000-0000-0000A4420000}"/>
    <cellStyle name="Komma 23" xfId="29415" xr:uid="{00000000-0005-0000-0000-0000A5420000}"/>
    <cellStyle name="Komma 3" xfId="58" xr:uid="{00000000-0005-0000-0000-0000A6420000}"/>
    <cellStyle name="Komma 3 2" xfId="525" xr:uid="{00000000-0005-0000-0000-0000A7420000}"/>
    <cellStyle name="Komma 3 2 2" xfId="17996" xr:uid="{00000000-0005-0000-0000-0000A8420000}"/>
    <cellStyle name="Komma 3 2 2 2" xfId="27233" xr:uid="{00000000-0005-0000-0000-0000A9420000}"/>
    <cellStyle name="Komma 3 2 2 2 2" xfId="27464" xr:uid="{00000000-0005-0000-0000-0000AA420000}"/>
    <cellStyle name="Komma 3 2 2 2 3" xfId="27315" xr:uid="{00000000-0005-0000-0000-0000AB420000}"/>
    <cellStyle name="Komma 3 2 2 2 4" xfId="27560" xr:uid="{00000000-0005-0000-0000-0000AC420000}"/>
    <cellStyle name="Komma 3 2 2 2 5" xfId="29761" xr:uid="{00000000-0005-0000-0000-0000AD420000}"/>
    <cellStyle name="Komma 3 2 2 3" xfId="27442" xr:uid="{00000000-0005-0000-0000-0000AE420000}"/>
    <cellStyle name="Komma 3 2 2 4" xfId="27303" xr:uid="{00000000-0005-0000-0000-0000AF420000}"/>
    <cellStyle name="Komma 3 2 2 5" xfId="27541" xr:uid="{00000000-0005-0000-0000-0000B0420000}"/>
    <cellStyle name="Komma 3 2 2 6" xfId="29723" xr:uid="{00000000-0005-0000-0000-0000B1420000}"/>
    <cellStyle name="Komma 3 2 3" xfId="27310" xr:uid="{00000000-0005-0000-0000-0000B2420000}"/>
    <cellStyle name="Komma 3 2 3 2" xfId="27451" xr:uid="{00000000-0005-0000-0000-0000B3420000}"/>
    <cellStyle name="Komma 3 2 3 3" xfId="27491" xr:uid="{00000000-0005-0000-0000-0000B4420000}"/>
    <cellStyle name="Komma 3 2 4" xfId="27459" xr:uid="{00000000-0005-0000-0000-0000B5420000}"/>
    <cellStyle name="Komma 3 2 5" xfId="27300" xr:uid="{00000000-0005-0000-0000-0000B6420000}"/>
    <cellStyle name="Komma 3 2 6" xfId="27496" xr:uid="{00000000-0005-0000-0000-0000B7420000}"/>
    <cellStyle name="Komma 3 2 7" xfId="29430" xr:uid="{00000000-0005-0000-0000-0000B8420000}"/>
    <cellStyle name="Komma 3 3" xfId="1067" xr:uid="{00000000-0005-0000-0000-0000B9420000}"/>
    <cellStyle name="Komma 3 3 2" xfId="4724" xr:uid="{00000000-0005-0000-0000-0000BA420000}"/>
    <cellStyle name="Komma 3 3 2 2" xfId="27461" xr:uid="{00000000-0005-0000-0000-0000BB420000}"/>
    <cellStyle name="Komma 3 3 2 3" xfId="27312" xr:uid="{00000000-0005-0000-0000-0000BC420000}"/>
    <cellStyle name="Komma 3 3 2 4" xfId="27524" xr:uid="{00000000-0005-0000-0000-0000BD420000}"/>
    <cellStyle name="Komma 3 3 2 5" xfId="29523" xr:uid="{00000000-0005-0000-0000-0000BE420000}"/>
    <cellStyle name="Komma 3 3 3" xfId="27454" xr:uid="{00000000-0005-0000-0000-0000BF420000}"/>
    <cellStyle name="Komma 3 3 4" xfId="27489" xr:uid="{00000000-0005-0000-0000-0000C0420000}"/>
    <cellStyle name="Komma 3 3 5" xfId="27503" xr:uid="{00000000-0005-0000-0000-0000C1420000}"/>
    <cellStyle name="Komma 3 3 6" xfId="29433" xr:uid="{00000000-0005-0000-0000-0000C2420000}"/>
    <cellStyle name="Komma 3 4" xfId="1241" xr:uid="{00000000-0005-0000-0000-0000C3420000}"/>
    <cellStyle name="Komma 3 4 2" xfId="27277" xr:uid="{00000000-0005-0000-0000-0000C4420000}"/>
    <cellStyle name="Komma 3 4 2 2" xfId="27446" xr:uid="{00000000-0005-0000-0000-0000C5420000}"/>
    <cellStyle name="Komma 3 4 2 2 2" xfId="29410" xr:uid="{00000000-0005-0000-0000-0000C6420000}"/>
    <cellStyle name="Komma 3 4 2 3" xfId="29764" xr:uid="{00000000-0005-0000-0000-0000C7420000}"/>
    <cellStyle name="Komma 3 4 3" xfId="27307" xr:uid="{00000000-0005-0000-0000-0000C8420000}"/>
    <cellStyle name="Komma 3 4 4" xfId="27514" xr:uid="{00000000-0005-0000-0000-0000C9420000}"/>
    <cellStyle name="Komma 3 4 5" xfId="29449" xr:uid="{00000000-0005-0000-0000-0000CA420000}"/>
    <cellStyle name="Komma 3 5" xfId="27327" xr:uid="{00000000-0005-0000-0000-0000CB420000}"/>
    <cellStyle name="Komma 3 5 2" xfId="29398" xr:uid="{00000000-0005-0000-0000-0000CC420000}"/>
    <cellStyle name="Komma 3 6" xfId="27452" xr:uid="{00000000-0005-0000-0000-0000CD420000}"/>
    <cellStyle name="Komma 3 7" xfId="27494" xr:uid="{00000000-0005-0000-0000-0000CE420000}"/>
    <cellStyle name="Komma 3 8" xfId="29422" xr:uid="{00000000-0005-0000-0000-0000CF420000}"/>
    <cellStyle name="Komma 4" xfId="101" xr:uid="{00000000-0005-0000-0000-0000D0420000}"/>
    <cellStyle name="Komma 4 2" xfId="1066" xr:uid="{00000000-0005-0000-0000-0000D1420000}"/>
    <cellStyle name="Komma 4 2 2" xfId="1232" xr:uid="{00000000-0005-0000-0000-0000D2420000}"/>
    <cellStyle name="Komma 4 2 2 2" xfId="29447" xr:uid="{00000000-0005-0000-0000-0000D3420000}"/>
    <cellStyle name="Komma 4 2 3" xfId="17997" xr:uid="{00000000-0005-0000-0000-0000D4420000}"/>
    <cellStyle name="Komma 4 2 4" xfId="27332" xr:uid="{00000000-0005-0000-0000-0000D5420000}"/>
    <cellStyle name="Komma 4 2 4 2" xfId="29399" xr:uid="{00000000-0005-0000-0000-0000D6420000}"/>
    <cellStyle name="Komma 4 2 5" xfId="27538" xr:uid="{00000000-0005-0000-0000-0000D7420000}"/>
    <cellStyle name="Komma 4 2 6" xfId="29432" xr:uid="{00000000-0005-0000-0000-0000D8420000}"/>
    <cellStyle name="Komma 4 3" xfId="1267" xr:uid="{00000000-0005-0000-0000-0000D9420000}"/>
    <cellStyle name="Komma 4 3 2" xfId="29455" xr:uid="{00000000-0005-0000-0000-0000DA420000}"/>
    <cellStyle name="Komma 4 4" xfId="27298" xr:uid="{00000000-0005-0000-0000-0000DB420000}"/>
    <cellStyle name="Komma 4 5" xfId="29424" xr:uid="{00000000-0005-0000-0000-0000DC420000}"/>
    <cellStyle name="Komma 5" xfId="170" xr:uid="{00000000-0005-0000-0000-0000DD420000}"/>
    <cellStyle name="Komma 5 2" xfId="1120" xr:uid="{00000000-0005-0000-0000-0000DE420000}"/>
    <cellStyle name="Komma 5 2 2" xfId="1163" xr:uid="{00000000-0005-0000-0000-0000DF420000}"/>
    <cellStyle name="Komma 5 2 2 2" xfId="29444" xr:uid="{00000000-0005-0000-0000-0000E0420000}"/>
    <cellStyle name="Komma 5 2 3" xfId="27253" xr:uid="{00000000-0005-0000-0000-0000E1420000}"/>
    <cellStyle name="Komma 5 2 3 2" xfId="29763" xr:uid="{00000000-0005-0000-0000-0000E2420000}"/>
    <cellStyle name="Komma 5 2 4" xfId="27508" xr:uid="{00000000-0005-0000-0000-0000E3420000}"/>
    <cellStyle name="Komma 5 2 5" xfId="29440" xr:uid="{00000000-0005-0000-0000-0000E4420000}"/>
    <cellStyle name="Komma 5 3" xfId="1233" xr:uid="{00000000-0005-0000-0000-0000E5420000}"/>
    <cellStyle name="Komma 5 3 2" xfId="29448" xr:uid="{00000000-0005-0000-0000-0000E6420000}"/>
    <cellStyle name="Komma 5 4" xfId="27301" xr:uid="{00000000-0005-0000-0000-0000E7420000}"/>
    <cellStyle name="Komma 5 5" xfId="29426" xr:uid="{00000000-0005-0000-0000-0000E8420000}"/>
    <cellStyle name="Komma 6" xfId="267" xr:uid="{00000000-0005-0000-0000-0000E9420000}"/>
    <cellStyle name="Komma 6 2" xfId="1102" xr:uid="{00000000-0005-0000-0000-0000EA420000}"/>
    <cellStyle name="Komma 6 2 2" xfId="1285" xr:uid="{00000000-0005-0000-0000-0000EB420000}"/>
    <cellStyle name="Komma 6 2 2 2" xfId="27484" xr:uid="{00000000-0005-0000-0000-0000EC420000}"/>
    <cellStyle name="Komma 6 2 2 3" xfId="29459" xr:uid="{00000000-0005-0000-0000-0000ED420000}"/>
    <cellStyle name="Komma 6 2 3" xfId="27234" xr:uid="{00000000-0005-0000-0000-0000EE420000}"/>
    <cellStyle name="Komma 6 2 3 2" xfId="29762" xr:uid="{00000000-0005-0000-0000-0000EF420000}"/>
    <cellStyle name="Komma 6 2 4" xfId="27344" xr:uid="{00000000-0005-0000-0000-0000F0420000}"/>
    <cellStyle name="Komma 6 2 4 2" xfId="29401" xr:uid="{00000000-0005-0000-0000-0000F1420000}"/>
    <cellStyle name="Komma 6 2 5" xfId="29436" xr:uid="{00000000-0005-0000-0000-0000F2420000}"/>
    <cellStyle name="Komma 6 3" xfId="17970" xr:uid="{00000000-0005-0000-0000-0000F3420000}"/>
    <cellStyle name="Komma 6 3 2" xfId="29721" xr:uid="{00000000-0005-0000-0000-0000F4420000}"/>
    <cellStyle name="Komma 6 4" xfId="27305" xr:uid="{00000000-0005-0000-0000-0000F5420000}"/>
    <cellStyle name="Komma 6 5" xfId="29427" xr:uid="{00000000-0005-0000-0000-0000F6420000}"/>
    <cellStyle name="Komma 7" xfId="472" xr:uid="{00000000-0005-0000-0000-0000F7420000}"/>
    <cellStyle name="Komma 7 2" xfId="967" xr:uid="{00000000-0005-0000-0000-0000F8420000}"/>
    <cellStyle name="Komma 7 2 2" xfId="27485" xr:uid="{00000000-0005-0000-0000-0000F9420000}"/>
    <cellStyle name="Komma 7 2 2 2" xfId="29414" xr:uid="{00000000-0005-0000-0000-0000FA420000}"/>
    <cellStyle name="Komma 7 2 3" xfId="27345" xr:uid="{00000000-0005-0000-0000-0000FB420000}"/>
    <cellStyle name="Komma 7 3" xfId="965" xr:uid="{00000000-0005-0000-0000-0000FC420000}"/>
    <cellStyle name="Komma 7 3 2" xfId="27443" xr:uid="{00000000-0005-0000-0000-0000FD420000}"/>
    <cellStyle name="Komma 7 3 2 2" xfId="29409" xr:uid="{00000000-0005-0000-0000-0000FE420000}"/>
    <cellStyle name="Komma 7 4" xfId="1271" xr:uid="{00000000-0005-0000-0000-0000FF420000}"/>
    <cellStyle name="Komma 7 4 2" xfId="27250" xr:uid="{00000000-0005-0000-0000-000000430000}"/>
    <cellStyle name="Komma 7 4 3" xfId="27516" xr:uid="{00000000-0005-0000-0000-000001430000}"/>
    <cellStyle name="Komma 7 4 4" xfId="29457" xr:uid="{00000000-0005-0000-0000-000002430000}"/>
    <cellStyle name="Komma 7 5" xfId="26684" xr:uid="{00000000-0005-0000-0000-000003430000}"/>
    <cellStyle name="Komma 7 5 2" xfId="29754" xr:uid="{00000000-0005-0000-0000-000004430000}"/>
    <cellStyle name="Komma 7 6" xfId="27304" xr:uid="{00000000-0005-0000-0000-000005430000}"/>
    <cellStyle name="Komma 8" xfId="968" xr:uid="{00000000-0005-0000-0000-000006430000}"/>
    <cellStyle name="Komma 8 10" xfId="17967" xr:uid="{00000000-0005-0000-0000-000007430000}"/>
    <cellStyle name="Komma 8 10 2" xfId="29720" xr:uid="{00000000-0005-0000-0000-000008430000}"/>
    <cellStyle name="Komma 8 11" xfId="27297" xr:uid="{00000000-0005-0000-0000-000009430000}"/>
    <cellStyle name="Komma 8 11 2" xfId="27554" xr:uid="{00000000-0005-0000-0000-00000A430000}"/>
    <cellStyle name="Komma 8 12" xfId="29243" xr:uid="{00000000-0005-0000-0000-00000B430000}"/>
    <cellStyle name="Komma 8 13" xfId="29431" xr:uid="{00000000-0005-0000-0000-00000C430000}"/>
    <cellStyle name="Komma 8 2" xfId="1116" xr:uid="{00000000-0005-0000-0000-00000D430000}"/>
    <cellStyle name="Komma 8 2 10" xfId="29439" xr:uid="{00000000-0005-0000-0000-00000E430000}"/>
    <cellStyle name="Komma 8 2 2" xfId="1108" xr:uid="{00000000-0005-0000-0000-00000F430000}"/>
    <cellStyle name="Komma 8 2 2 2" xfId="1330" xr:uid="{00000000-0005-0000-0000-000010430000}"/>
    <cellStyle name="Komma 8 2 2 2 2" xfId="2478" xr:uid="{00000000-0005-0000-0000-000011430000}"/>
    <cellStyle name="Komma 8 2 2 2 2 2" xfId="4648" xr:uid="{00000000-0005-0000-0000-000012430000}"/>
    <cellStyle name="Komma 8 2 2 2 2 2 2" xfId="9071" xr:uid="{00000000-0005-0000-0000-000013430000}"/>
    <cellStyle name="Komma 8 2 2 2 2 2 2 2" xfId="17892" xr:uid="{00000000-0005-0000-0000-000014430000}"/>
    <cellStyle name="Komma 8 2 2 2 2 2 2 2 2" xfId="29713" xr:uid="{00000000-0005-0000-0000-000015430000}"/>
    <cellStyle name="Komma 8 2 2 2 2 2 2 3" xfId="29585" xr:uid="{00000000-0005-0000-0000-000016430000}"/>
    <cellStyle name="Komma 8 2 2 2 2 2 3" xfId="13485" xr:uid="{00000000-0005-0000-0000-000017430000}"/>
    <cellStyle name="Komma 8 2 2 2 2 2 3 2" xfId="29650" xr:uid="{00000000-0005-0000-0000-000018430000}"/>
    <cellStyle name="Komma 8 2 2 2 2 2 4" xfId="29515" xr:uid="{00000000-0005-0000-0000-000019430000}"/>
    <cellStyle name="Komma 8 2 2 2 2 3" xfId="6866" xr:uid="{00000000-0005-0000-0000-00001A430000}"/>
    <cellStyle name="Komma 8 2 2 2 2 3 2" xfId="15687" xr:uid="{00000000-0005-0000-0000-00001B430000}"/>
    <cellStyle name="Komma 8 2 2 2 2 3 2 2" xfId="29681" xr:uid="{00000000-0005-0000-0000-00001C430000}"/>
    <cellStyle name="Komma 8 2 2 2 2 3 3" xfId="29553" xr:uid="{00000000-0005-0000-0000-00001D430000}"/>
    <cellStyle name="Komma 8 2 2 2 2 4" xfId="11280" xr:uid="{00000000-0005-0000-0000-00001E430000}"/>
    <cellStyle name="Komma 8 2 2 2 2 4 2" xfId="29618" xr:uid="{00000000-0005-0000-0000-00001F430000}"/>
    <cellStyle name="Komma 8 2 2 2 2 5" xfId="29483" xr:uid="{00000000-0005-0000-0000-000020430000}"/>
    <cellStyle name="Komma 8 2 2 2 3" xfId="1982" xr:uid="{00000000-0005-0000-0000-000021430000}"/>
    <cellStyle name="Komma 8 2 2 2 3 2" xfId="3939" xr:uid="{00000000-0005-0000-0000-000022430000}"/>
    <cellStyle name="Komma 8 2 2 2 3 2 2" xfId="8333" xr:uid="{00000000-0005-0000-0000-000023430000}"/>
    <cellStyle name="Komma 8 2 2 2 3 2 2 2" xfId="17154" xr:uid="{00000000-0005-0000-0000-000024430000}"/>
    <cellStyle name="Komma 8 2 2 2 3 2 2 2 2" xfId="29703" xr:uid="{00000000-0005-0000-0000-000025430000}"/>
    <cellStyle name="Komma 8 2 2 2 3 2 2 3" xfId="29575" xr:uid="{00000000-0005-0000-0000-000026430000}"/>
    <cellStyle name="Komma 8 2 2 2 3 2 3" xfId="12747" xr:uid="{00000000-0005-0000-0000-000027430000}"/>
    <cellStyle name="Komma 8 2 2 2 3 2 3 2" xfId="29640" xr:uid="{00000000-0005-0000-0000-000028430000}"/>
    <cellStyle name="Komma 8 2 2 2 3 2 4" xfId="29505" xr:uid="{00000000-0005-0000-0000-000029430000}"/>
    <cellStyle name="Komma 8 2 2 2 3 3" xfId="6128" xr:uid="{00000000-0005-0000-0000-00002A430000}"/>
    <cellStyle name="Komma 8 2 2 2 3 3 2" xfId="14949" xr:uid="{00000000-0005-0000-0000-00002B430000}"/>
    <cellStyle name="Komma 8 2 2 2 3 3 2 2" xfId="29671" xr:uid="{00000000-0005-0000-0000-00002C430000}"/>
    <cellStyle name="Komma 8 2 2 2 3 3 3" xfId="29543" xr:uid="{00000000-0005-0000-0000-00002D430000}"/>
    <cellStyle name="Komma 8 2 2 2 3 4" xfId="10542" xr:uid="{00000000-0005-0000-0000-00002E430000}"/>
    <cellStyle name="Komma 8 2 2 2 3 4 2" xfId="29608" xr:uid="{00000000-0005-0000-0000-00002F430000}"/>
    <cellStyle name="Komma 8 2 2 2 3 5" xfId="29473" xr:uid="{00000000-0005-0000-0000-000030430000}"/>
    <cellStyle name="Komma 8 2 2 2 4" xfId="3202" xr:uid="{00000000-0005-0000-0000-000031430000}"/>
    <cellStyle name="Komma 8 2 2 2 4 2" xfId="7596" xr:uid="{00000000-0005-0000-0000-000032430000}"/>
    <cellStyle name="Komma 8 2 2 2 4 2 2" xfId="16417" xr:uid="{00000000-0005-0000-0000-000033430000}"/>
    <cellStyle name="Komma 8 2 2 2 4 2 2 2" xfId="29693" xr:uid="{00000000-0005-0000-0000-000034430000}"/>
    <cellStyle name="Komma 8 2 2 2 4 2 3" xfId="29565" xr:uid="{00000000-0005-0000-0000-000035430000}"/>
    <cellStyle name="Komma 8 2 2 2 4 3" xfId="12010" xr:uid="{00000000-0005-0000-0000-000036430000}"/>
    <cellStyle name="Komma 8 2 2 2 4 3 2" xfId="29630" xr:uid="{00000000-0005-0000-0000-000037430000}"/>
    <cellStyle name="Komma 8 2 2 2 4 4" xfId="29495" xr:uid="{00000000-0005-0000-0000-000038430000}"/>
    <cellStyle name="Komma 8 2 2 2 5" xfId="5391" xr:uid="{00000000-0005-0000-0000-000039430000}"/>
    <cellStyle name="Komma 8 2 2 2 5 2" xfId="14212" xr:uid="{00000000-0005-0000-0000-00003A430000}"/>
    <cellStyle name="Komma 8 2 2 2 5 2 2" xfId="29661" xr:uid="{00000000-0005-0000-0000-00003B430000}"/>
    <cellStyle name="Komma 8 2 2 2 5 3" xfId="29533" xr:uid="{00000000-0005-0000-0000-00003C430000}"/>
    <cellStyle name="Komma 8 2 2 2 6" xfId="9805" xr:uid="{00000000-0005-0000-0000-00003D430000}"/>
    <cellStyle name="Komma 8 2 2 2 6 2" xfId="29598" xr:uid="{00000000-0005-0000-0000-00003E430000}"/>
    <cellStyle name="Komma 8 2 2 2 7" xfId="29463" xr:uid="{00000000-0005-0000-0000-00003F430000}"/>
    <cellStyle name="Komma 8 2 2 3" xfId="2217" xr:uid="{00000000-0005-0000-0000-000040430000}"/>
    <cellStyle name="Komma 8 2 2 3 2" xfId="4293" xr:uid="{00000000-0005-0000-0000-000041430000}"/>
    <cellStyle name="Komma 8 2 2 3 2 2" xfId="8702" xr:uid="{00000000-0005-0000-0000-000042430000}"/>
    <cellStyle name="Komma 8 2 2 3 2 2 2" xfId="17523" xr:uid="{00000000-0005-0000-0000-000043430000}"/>
    <cellStyle name="Komma 8 2 2 3 2 2 2 2" xfId="29708" xr:uid="{00000000-0005-0000-0000-000044430000}"/>
    <cellStyle name="Komma 8 2 2 3 2 2 3" xfId="29580" xr:uid="{00000000-0005-0000-0000-000045430000}"/>
    <cellStyle name="Komma 8 2 2 3 2 3" xfId="13116" xr:uid="{00000000-0005-0000-0000-000046430000}"/>
    <cellStyle name="Komma 8 2 2 3 2 3 2" xfId="29645" xr:uid="{00000000-0005-0000-0000-000047430000}"/>
    <cellStyle name="Komma 8 2 2 3 2 4" xfId="29510" xr:uid="{00000000-0005-0000-0000-000048430000}"/>
    <cellStyle name="Komma 8 2 2 3 3" xfId="6497" xr:uid="{00000000-0005-0000-0000-000049430000}"/>
    <cellStyle name="Komma 8 2 2 3 3 2" xfId="15318" xr:uid="{00000000-0005-0000-0000-00004A430000}"/>
    <cellStyle name="Komma 8 2 2 3 3 2 2" xfId="29676" xr:uid="{00000000-0005-0000-0000-00004B430000}"/>
    <cellStyle name="Komma 8 2 2 3 3 3" xfId="29548" xr:uid="{00000000-0005-0000-0000-00004C430000}"/>
    <cellStyle name="Komma 8 2 2 3 4" xfId="10911" xr:uid="{00000000-0005-0000-0000-00004D430000}"/>
    <cellStyle name="Komma 8 2 2 3 4 2" xfId="29613" xr:uid="{00000000-0005-0000-0000-00004E430000}"/>
    <cellStyle name="Komma 8 2 2 3 5" xfId="29478" xr:uid="{00000000-0005-0000-0000-00004F430000}"/>
    <cellStyle name="Komma 8 2 2 4" xfId="1627" xr:uid="{00000000-0005-0000-0000-000050430000}"/>
    <cellStyle name="Komma 8 2 2 4 2" xfId="3570" xr:uid="{00000000-0005-0000-0000-000051430000}"/>
    <cellStyle name="Komma 8 2 2 4 2 2" xfId="7964" xr:uid="{00000000-0005-0000-0000-000052430000}"/>
    <cellStyle name="Komma 8 2 2 4 2 2 2" xfId="16785" xr:uid="{00000000-0005-0000-0000-000053430000}"/>
    <cellStyle name="Komma 8 2 2 4 2 2 2 2" xfId="29698" xr:uid="{00000000-0005-0000-0000-000054430000}"/>
    <cellStyle name="Komma 8 2 2 4 2 2 3" xfId="29570" xr:uid="{00000000-0005-0000-0000-000055430000}"/>
    <cellStyle name="Komma 8 2 2 4 2 3" xfId="12378" xr:uid="{00000000-0005-0000-0000-000056430000}"/>
    <cellStyle name="Komma 8 2 2 4 2 3 2" xfId="29635" xr:uid="{00000000-0005-0000-0000-000057430000}"/>
    <cellStyle name="Komma 8 2 2 4 2 4" xfId="29500" xr:uid="{00000000-0005-0000-0000-000058430000}"/>
    <cellStyle name="Komma 8 2 2 4 3" xfId="5759" xr:uid="{00000000-0005-0000-0000-000059430000}"/>
    <cellStyle name="Komma 8 2 2 4 3 2" xfId="14580" xr:uid="{00000000-0005-0000-0000-00005A430000}"/>
    <cellStyle name="Komma 8 2 2 4 3 2 2" xfId="29666" xr:uid="{00000000-0005-0000-0000-00005B430000}"/>
    <cellStyle name="Komma 8 2 2 4 3 3" xfId="29538" xr:uid="{00000000-0005-0000-0000-00005C430000}"/>
    <cellStyle name="Komma 8 2 2 4 4" xfId="10173" xr:uid="{00000000-0005-0000-0000-00005D430000}"/>
    <cellStyle name="Komma 8 2 2 4 4 2" xfId="29603" xr:uid="{00000000-0005-0000-0000-00005E430000}"/>
    <cellStyle name="Komma 8 2 2 4 5" xfId="29468" xr:uid="{00000000-0005-0000-0000-00005F430000}"/>
    <cellStyle name="Komma 8 2 2 5" xfId="2833" xr:uid="{00000000-0005-0000-0000-000060430000}"/>
    <cellStyle name="Komma 8 2 2 5 2" xfId="7227" xr:uid="{00000000-0005-0000-0000-000061430000}"/>
    <cellStyle name="Komma 8 2 2 5 2 2" xfId="16048" xr:uid="{00000000-0005-0000-0000-000062430000}"/>
    <cellStyle name="Komma 8 2 2 5 2 2 2" xfId="29688" xr:uid="{00000000-0005-0000-0000-000063430000}"/>
    <cellStyle name="Komma 8 2 2 5 2 3" xfId="29560" xr:uid="{00000000-0005-0000-0000-000064430000}"/>
    <cellStyle name="Komma 8 2 2 5 3" xfId="11641" xr:uid="{00000000-0005-0000-0000-000065430000}"/>
    <cellStyle name="Komma 8 2 2 5 3 2" xfId="29625" xr:uid="{00000000-0005-0000-0000-000066430000}"/>
    <cellStyle name="Komma 8 2 2 5 4" xfId="29490" xr:uid="{00000000-0005-0000-0000-000067430000}"/>
    <cellStyle name="Komma 8 2 2 6" xfId="5022" xr:uid="{00000000-0005-0000-0000-000068430000}"/>
    <cellStyle name="Komma 8 2 2 6 2" xfId="13843" xr:uid="{00000000-0005-0000-0000-000069430000}"/>
    <cellStyle name="Komma 8 2 2 6 2 2" xfId="29656" xr:uid="{00000000-0005-0000-0000-00006A430000}"/>
    <cellStyle name="Komma 8 2 2 6 3" xfId="29528" xr:uid="{00000000-0005-0000-0000-00006B430000}"/>
    <cellStyle name="Komma 8 2 2 7" xfId="9436" xr:uid="{00000000-0005-0000-0000-00006C430000}"/>
    <cellStyle name="Komma 8 2 2 7 2" xfId="29593" xr:uid="{00000000-0005-0000-0000-00006D430000}"/>
    <cellStyle name="Komma 8 2 2 8" xfId="29438" xr:uid="{00000000-0005-0000-0000-00006E430000}"/>
    <cellStyle name="Komma 8 2 3" xfId="1124" xr:uid="{00000000-0005-0000-0000-00006F430000}"/>
    <cellStyle name="Komma 8 2 3 2" xfId="2347" xr:uid="{00000000-0005-0000-0000-000070430000}"/>
    <cellStyle name="Komma 8 2 3 2 2" xfId="4464" xr:uid="{00000000-0005-0000-0000-000071430000}"/>
    <cellStyle name="Komma 8 2 3 2 2 2" xfId="8886" xr:uid="{00000000-0005-0000-0000-000072430000}"/>
    <cellStyle name="Komma 8 2 3 2 2 2 2" xfId="17707" xr:uid="{00000000-0005-0000-0000-000073430000}"/>
    <cellStyle name="Komma 8 2 3 2 2 2 2 2" xfId="29710" xr:uid="{00000000-0005-0000-0000-000074430000}"/>
    <cellStyle name="Komma 8 2 3 2 2 2 3" xfId="29582" xr:uid="{00000000-0005-0000-0000-000075430000}"/>
    <cellStyle name="Komma 8 2 3 2 2 3" xfId="13300" xr:uid="{00000000-0005-0000-0000-000076430000}"/>
    <cellStyle name="Komma 8 2 3 2 2 3 2" xfId="29647" xr:uid="{00000000-0005-0000-0000-000077430000}"/>
    <cellStyle name="Komma 8 2 3 2 2 4" xfId="29512" xr:uid="{00000000-0005-0000-0000-000078430000}"/>
    <cellStyle name="Komma 8 2 3 2 3" xfId="6681" xr:uid="{00000000-0005-0000-0000-000079430000}"/>
    <cellStyle name="Komma 8 2 3 2 3 2" xfId="15502" xr:uid="{00000000-0005-0000-0000-00007A430000}"/>
    <cellStyle name="Komma 8 2 3 2 3 2 2" xfId="29678" xr:uid="{00000000-0005-0000-0000-00007B430000}"/>
    <cellStyle name="Komma 8 2 3 2 3 3" xfId="29550" xr:uid="{00000000-0005-0000-0000-00007C430000}"/>
    <cellStyle name="Komma 8 2 3 2 4" xfId="11095" xr:uid="{00000000-0005-0000-0000-00007D430000}"/>
    <cellStyle name="Komma 8 2 3 2 4 2" xfId="29615" xr:uid="{00000000-0005-0000-0000-00007E430000}"/>
    <cellStyle name="Komma 8 2 3 2 5" xfId="29480" xr:uid="{00000000-0005-0000-0000-00007F430000}"/>
    <cellStyle name="Komma 8 2 3 3" xfId="1798" xr:uid="{00000000-0005-0000-0000-000080430000}"/>
    <cellStyle name="Komma 8 2 3 3 2" xfId="3754" xr:uid="{00000000-0005-0000-0000-000081430000}"/>
    <cellStyle name="Komma 8 2 3 3 2 2" xfId="8148" xr:uid="{00000000-0005-0000-0000-000082430000}"/>
    <cellStyle name="Komma 8 2 3 3 2 2 2" xfId="16969" xr:uid="{00000000-0005-0000-0000-000083430000}"/>
    <cellStyle name="Komma 8 2 3 3 2 2 2 2" xfId="29700" xr:uid="{00000000-0005-0000-0000-000084430000}"/>
    <cellStyle name="Komma 8 2 3 3 2 2 3" xfId="29572" xr:uid="{00000000-0005-0000-0000-000085430000}"/>
    <cellStyle name="Komma 8 2 3 3 2 3" xfId="12562" xr:uid="{00000000-0005-0000-0000-000086430000}"/>
    <cellStyle name="Komma 8 2 3 3 2 3 2" xfId="29637" xr:uid="{00000000-0005-0000-0000-000087430000}"/>
    <cellStyle name="Komma 8 2 3 3 2 4" xfId="29502" xr:uid="{00000000-0005-0000-0000-000088430000}"/>
    <cellStyle name="Komma 8 2 3 3 3" xfId="5943" xr:uid="{00000000-0005-0000-0000-000089430000}"/>
    <cellStyle name="Komma 8 2 3 3 3 2" xfId="14764" xr:uid="{00000000-0005-0000-0000-00008A430000}"/>
    <cellStyle name="Komma 8 2 3 3 3 2 2" xfId="29668" xr:uid="{00000000-0005-0000-0000-00008B430000}"/>
    <cellStyle name="Komma 8 2 3 3 3 3" xfId="29540" xr:uid="{00000000-0005-0000-0000-00008C430000}"/>
    <cellStyle name="Komma 8 2 3 3 4" xfId="10357" xr:uid="{00000000-0005-0000-0000-00008D430000}"/>
    <cellStyle name="Komma 8 2 3 3 4 2" xfId="29605" xr:uid="{00000000-0005-0000-0000-00008E430000}"/>
    <cellStyle name="Komma 8 2 3 3 5" xfId="29470" xr:uid="{00000000-0005-0000-0000-00008F430000}"/>
    <cellStyle name="Komma 8 2 3 4" xfId="3017" xr:uid="{00000000-0005-0000-0000-000090430000}"/>
    <cellStyle name="Komma 8 2 3 4 2" xfId="7411" xr:uid="{00000000-0005-0000-0000-000091430000}"/>
    <cellStyle name="Komma 8 2 3 4 2 2" xfId="16232" xr:uid="{00000000-0005-0000-0000-000092430000}"/>
    <cellStyle name="Komma 8 2 3 4 2 2 2" xfId="29690" xr:uid="{00000000-0005-0000-0000-000093430000}"/>
    <cellStyle name="Komma 8 2 3 4 2 3" xfId="29562" xr:uid="{00000000-0005-0000-0000-000094430000}"/>
    <cellStyle name="Komma 8 2 3 4 3" xfId="11825" xr:uid="{00000000-0005-0000-0000-000095430000}"/>
    <cellStyle name="Komma 8 2 3 4 3 2" xfId="29627" xr:uid="{00000000-0005-0000-0000-000096430000}"/>
    <cellStyle name="Komma 8 2 3 4 4" xfId="29492" xr:uid="{00000000-0005-0000-0000-000097430000}"/>
    <cellStyle name="Komma 8 2 3 5" xfId="5206" xr:uid="{00000000-0005-0000-0000-000098430000}"/>
    <cellStyle name="Komma 8 2 3 5 2" xfId="14027" xr:uid="{00000000-0005-0000-0000-000099430000}"/>
    <cellStyle name="Komma 8 2 3 5 2 2" xfId="29658" xr:uid="{00000000-0005-0000-0000-00009A430000}"/>
    <cellStyle name="Komma 8 2 3 5 3" xfId="29530" xr:uid="{00000000-0005-0000-0000-00009B430000}"/>
    <cellStyle name="Komma 8 2 3 6" xfId="9620" xr:uid="{00000000-0005-0000-0000-00009C430000}"/>
    <cellStyle name="Komma 8 2 3 6 2" xfId="29595" xr:uid="{00000000-0005-0000-0000-00009D430000}"/>
    <cellStyle name="Komma 8 2 3 7" xfId="29441" xr:uid="{00000000-0005-0000-0000-00009E430000}"/>
    <cellStyle name="Komma 8 2 4" xfId="2086" xr:uid="{00000000-0005-0000-0000-00009F430000}"/>
    <cellStyle name="Komma 8 2 4 2" xfId="4109" xr:uid="{00000000-0005-0000-0000-0000A0430000}"/>
    <cellStyle name="Komma 8 2 4 2 2" xfId="8517" xr:uid="{00000000-0005-0000-0000-0000A1430000}"/>
    <cellStyle name="Komma 8 2 4 2 2 2" xfId="17338" xr:uid="{00000000-0005-0000-0000-0000A2430000}"/>
    <cellStyle name="Komma 8 2 4 2 2 2 2" xfId="29705" xr:uid="{00000000-0005-0000-0000-0000A3430000}"/>
    <cellStyle name="Komma 8 2 4 2 2 3" xfId="29577" xr:uid="{00000000-0005-0000-0000-0000A4430000}"/>
    <cellStyle name="Komma 8 2 4 2 3" xfId="12931" xr:uid="{00000000-0005-0000-0000-0000A5430000}"/>
    <cellStyle name="Komma 8 2 4 2 3 2" xfId="29642" xr:uid="{00000000-0005-0000-0000-0000A6430000}"/>
    <cellStyle name="Komma 8 2 4 2 4" xfId="29507" xr:uid="{00000000-0005-0000-0000-0000A7430000}"/>
    <cellStyle name="Komma 8 2 4 3" xfId="6312" xr:uid="{00000000-0005-0000-0000-0000A8430000}"/>
    <cellStyle name="Komma 8 2 4 3 2" xfId="15133" xr:uid="{00000000-0005-0000-0000-0000A9430000}"/>
    <cellStyle name="Komma 8 2 4 3 2 2" xfId="29673" xr:uid="{00000000-0005-0000-0000-0000AA430000}"/>
    <cellStyle name="Komma 8 2 4 3 3" xfId="29545" xr:uid="{00000000-0005-0000-0000-0000AB430000}"/>
    <cellStyle name="Komma 8 2 4 4" xfId="10726" xr:uid="{00000000-0005-0000-0000-0000AC430000}"/>
    <cellStyle name="Komma 8 2 4 4 2" xfId="29610" xr:uid="{00000000-0005-0000-0000-0000AD430000}"/>
    <cellStyle name="Komma 8 2 4 5" xfId="29475" xr:uid="{00000000-0005-0000-0000-0000AE430000}"/>
    <cellStyle name="Komma 8 2 5" xfId="1444" xr:uid="{00000000-0005-0000-0000-0000AF430000}"/>
    <cellStyle name="Komma 8 2 5 2" xfId="3385" xr:uid="{00000000-0005-0000-0000-0000B0430000}"/>
    <cellStyle name="Komma 8 2 5 2 2" xfId="7779" xr:uid="{00000000-0005-0000-0000-0000B1430000}"/>
    <cellStyle name="Komma 8 2 5 2 2 2" xfId="16600" xr:uid="{00000000-0005-0000-0000-0000B2430000}"/>
    <cellStyle name="Komma 8 2 5 2 2 2 2" xfId="29695" xr:uid="{00000000-0005-0000-0000-0000B3430000}"/>
    <cellStyle name="Komma 8 2 5 2 2 3" xfId="29567" xr:uid="{00000000-0005-0000-0000-0000B4430000}"/>
    <cellStyle name="Komma 8 2 5 2 3" xfId="12193" xr:uid="{00000000-0005-0000-0000-0000B5430000}"/>
    <cellStyle name="Komma 8 2 5 2 3 2" xfId="29632" xr:uid="{00000000-0005-0000-0000-0000B6430000}"/>
    <cellStyle name="Komma 8 2 5 2 4" xfId="29497" xr:uid="{00000000-0005-0000-0000-0000B7430000}"/>
    <cellStyle name="Komma 8 2 5 3" xfId="5574" xr:uid="{00000000-0005-0000-0000-0000B8430000}"/>
    <cellStyle name="Komma 8 2 5 3 2" xfId="14395" xr:uid="{00000000-0005-0000-0000-0000B9430000}"/>
    <cellStyle name="Komma 8 2 5 3 2 2" xfId="29663" xr:uid="{00000000-0005-0000-0000-0000BA430000}"/>
    <cellStyle name="Komma 8 2 5 3 3" xfId="29535" xr:uid="{00000000-0005-0000-0000-0000BB430000}"/>
    <cellStyle name="Komma 8 2 5 4" xfId="9988" xr:uid="{00000000-0005-0000-0000-0000BC430000}"/>
    <cellStyle name="Komma 8 2 5 4 2" xfId="29600" xr:uid="{00000000-0005-0000-0000-0000BD430000}"/>
    <cellStyle name="Komma 8 2 5 5" xfId="29465" xr:uid="{00000000-0005-0000-0000-0000BE430000}"/>
    <cellStyle name="Komma 8 2 6" xfId="2649" xr:uid="{00000000-0005-0000-0000-0000BF430000}"/>
    <cellStyle name="Komma 8 2 6 2" xfId="7042" xr:uid="{00000000-0005-0000-0000-0000C0430000}"/>
    <cellStyle name="Komma 8 2 6 2 2" xfId="15863" xr:uid="{00000000-0005-0000-0000-0000C1430000}"/>
    <cellStyle name="Komma 8 2 6 2 2 2" xfId="29685" xr:uid="{00000000-0005-0000-0000-0000C2430000}"/>
    <cellStyle name="Komma 8 2 6 2 3" xfId="29557" xr:uid="{00000000-0005-0000-0000-0000C3430000}"/>
    <cellStyle name="Komma 8 2 6 3" xfId="11456" xr:uid="{00000000-0005-0000-0000-0000C4430000}"/>
    <cellStyle name="Komma 8 2 6 3 2" xfId="29622" xr:uid="{00000000-0005-0000-0000-0000C5430000}"/>
    <cellStyle name="Komma 8 2 6 4" xfId="29487" xr:uid="{00000000-0005-0000-0000-0000C6430000}"/>
    <cellStyle name="Komma 8 2 7" xfId="4837" xr:uid="{00000000-0005-0000-0000-0000C7430000}"/>
    <cellStyle name="Komma 8 2 7 2" xfId="13658" xr:uid="{00000000-0005-0000-0000-0000C8430000}"/>
    <cellStyle name="Komma 8 2 7 2 2" xfId="29653" xr:uid="{00000000-0005-0000-0000-0000C9430000}"/>
    <cellStyle name="Komma 8 2 7 3" xfId="29525" xr:uid="{00000000-0005-0000-0000-0000CA430000}"/>
    <cellStyle name="Komma 8 2 8" xfId="9251" xr:uid="{00000000-0005-0000-0000-0000CB430000}"/>
    <cellStyle name="Komma 8 2 8 2" xfId="29590" xr:uid="{00000000-0005-0000-0000-0000CC430000}"/>
    <cellStyle name="Komma 8 2 9" xfId="27320" xr:uid="{00000000-0005-0000-0000-0000CD430000}"/>
    <cellStyle name="Komma 8 3" xfId="1247" xr:uid="{00000000-0005-0000-0000-0000CE430000}"/>
    <cellStyle name="Komma 8 3 2" xfId="1268" xr:uid="{00000000-0005-0000-0000-0000CF430000}"/>
    <cellStyle name="Komma 8 3 2 2" xfId="2413" xr:uid="{00000000-0005-0000-0000-0000D0430000}"/>
    <cellStyle name="Komma 8 3 2 2 2" xfId="4557" xr:uid="{00000000-0005-0000-0000-0000D1430000}"/>
    <cellStyle name="Komma 8 3 2 2 2 2" xfId="8979" xr:uid="{00000000-0005-0000-0000-0000D2430000}"/>
    <cellStyle name="Komma 8 3 2 2 2 2 2" xfId="17800" xr:uid="{00000000-0005-0000-0000-0000D3430000}"/>
    <cellStyle name="Komma 8 3 2 2 2 2 2 2" xfId="29712" xr:uid="{00000000-0005-0000-0000-0000D4430000}"/>
    <cellStyle name="Komma 8 3 2 2 2 2 3" xfId="29584" xr:uid="{00000000-0005-0000-0000-0000D5430000}"/>
    <cellStyle name="Komma 8 3 2 2 2 3" xfId="13393" xr:uid="{00000000-0005-0000-0000-0000D6430000}"/>
    <cellStyle name="Komma 8 3 2 2 2 3 2" xfId="29649" xr:uid="{00000000-0005-0000-0000-0000D7430000}"/>
    <cellStyle name="Komma 8 3 2 2 2 4" xfId="29514" xr:uid="{00000000-0005-0000-0000-0000D8430000}"/>
    <cellStyle name="Komma 8 3 2 2 3" xfId="6774" xr:uid="{00000000-0005-0000-0000-0000D9430000}"/>
    <cellStyle name="Komma 8 3 2 2 3 2" xfId="15595" xr:uid="{00000000-0005-0000-0000-0000DA430000}"/>
    <cellStyle name="Komma 8 3 2 2 3 2 2" xfId="29680" xr:uid="{00000000-0005-0000-0000-0000DB430000}"/>
    <cellStyle name="Komma 8 3 2 2 3 3" xfId="29552" xr:uid="{00000000-0005-0000-0000-0000DC430000}"/>
    <cellStyle name="Komma 8 3 2 2 4" xfId="11188" xr:uid="{00000000-0005-0000-0000-0000DD430000}"/>
    <cellStyle name="Komma 8 3 2 2 4 2" xfId="29617" xr:uid="{00000000-0005-0000-0000-0000DE430000}"/>
    <cellStyle name="Komma 8 3 2 2 5" xfId="29482" xr:uid="{00000000-0005-0000-0000-0000DF430000}"/>
    <cellStyle name="Komma 8 3 2 3" xfId="1891" xr:uid="{00000000-0005-0000-0000-0000E0430000}"/>
    <cellStyle name="Komma 8 3 2 3 2" xfId="3847" xr:uid="{00000000-0005-0000-0000-0000E1430000}"/>
    <cellStyle name="Komma 8 3 2 3 2 2" xfId="8241" xr:uid="{00000000-0005-0000-0000-0000E2430000}"/>
    <cellStyle name="Komma 8 3 2 3 2 2 2" xfId="17062" xr:uid="{00000000-0005-0000-0000-0000E3430000}"/>
    <cellStyle name="Komma 8 3 2 3 2 2 2 2" xfId="29702" xr:uid="{00000000-0005-0000-0000-0000E4430000}"/>
    <cellStyle name="Komma 8 3 2 3 2 2 3" xfId="29574" xr:uid="{00000000-0005-0000-0000-0000E5430000}"/>
    <cellStyle name="Komma 8 3 2 3 2 3" xfId="12655" xr:uid="{00000000-0005-0000-0000-0000E6430000}"/>
    <cellStyle name="Komma 8 3 2 3 2 3 2" xfId="29639" xr:uid="{00000000-0005-0000-0000-0000E7430000}"/>
    <cellStyle name="Komma 8 3 2 3 2 4" xfId="29504" xr:uid="{00000000-0005-0000-0000-0000E8430000}"/>
    <cellStyle name="Komma 8 3 2 3 3" xfId="6036" xr:uid="{00000000-0005-0000-0000-0000E9430000}"/>
    <cellStyle name="Komma 8 3 2 3 3 2" xfId="14857" xr:uid="{00000000-0005-0000-0000-0000EA430000}"/>
    <cellStyle name="Komma 8 3 2 3 3 2 2" xfId="29670" xr:uid="{00000000-0005-0000-0000-0000EB430000}"/>
    <cellStyle name="Komma 8 3 2 3 3 3" xfId="29542" xr:uid="{00000000-0005-0000-0000-0000EC430000}"/>
    <cellStyle name="Komma 8 3 2 3 4" xfId="10450" xr:uid="{00000000-0005-0000-0000-0000ED430000}"/>
    <cellStyle name="Komma 8 3 2 3 4 2" xfId="29607" xr:uid="{00000000-0005-0000-0000-0000EE430000}"/>
    <cellStyle name="Komma 8 3 2 3 5" xfId="29472" xr:uid="{00000000-0005-0000-0000-0000EF430000}"/>
    <cellStyle name="Komma 8 3 2 4" xfId="3110" xr:uid="{00000000-0005-0000-0000-0000F0430000}"/>
    <cellStyle name="Komma 8 3 2 4 2" xfId="7504" xr:uid="{00000000-0005-0000-0000-0000F1430000}"/>
    <cellStyle name="Komma 8 3 2 4 2 2" xfId="16325" xr:uid="{00000000-0005-0000-0000-0000F2430000}"/>
    <cellStyle name="Komma 8 3 2 4 2 2 2" xfId="29692" xr:uid="{00000000-0005-0000-0000-0000F3430000}"/>
    <cellStyle name="Komma 8 3 2 4 2 3" xfId="29564" xr:uid="{00000000-0005-0000-0000-0000F4430000}"/>
    <cellStyle name="Komma 8 3 2 4 3" xfId="11918" xr:uid="{00000000-0005-0000-0000-0000F5430000}"/>
    <cellStyle name="Komma 8 3 2 4 3 2" xfId="29629" xr:uid="{00000000-0005-0000-0000-0000F6430000}"/>
    <cellStyle name="Komma 8 3 2 4 4" xfId="29494" xr:uid="{00000000-0005-0000-0000-0000F7430000}"/>
    <cellStyle name="Komma 8 3 2 5" xfId="5299" xr:uid="{00000000-0005-0000-0000-0000F8430000}"/>
    <cellStyle name="Komma 8 3 2 5 2" xfId="14120" xr:uid="{00000000-0005-0000-0000-0000F9430000}"/>
    <cellStyle name="Komma 8 3 2 5 2 2" xfId="29660" xr:uid="{00000000-0005-0000-0000-0000FA430000}"/>
    <cellStyle name="Komma 8 3 2 5 3" xfId="29532" xr:uid="{00000000-0005-0000-0000-0000FB430000}"/>
    <cellStyle name="Komma 8 3 2 6" xfId="9713" xr:uid="{00000000-0005-0000-0000-0000FC430000}"/>
    <cellStyle name="Komma 8 3 2 6 2" xfId="29597" xr:uid="{00000000-0005-0000-0000-0000FD430000}"/>
    <cellStyle name="Komma 8 3 2 7" xfId="29456" xr:uid="{00000000-0005-0000-0000-0000FE430000}"/>
    <cellStyle name="Komma 8 3 3" xfId="2152" xr:uid="{00000000-0005-0000-0000-0000FF430000}"/>
    <cellStyle name="Komma 8 3 3 2" xfId="4202" xr:uid="{00000000-0005-0000-0000-000000440000}"/>
    <cellStyle name="Komma 8 3 3 2 2" xfId="8610" xr:uid="{00000000-0005-0000-0000-000001440000}"/>
    <cellStyle name="Komma 8 3 3 2 2 2" xfId="17431" xr:uid="{00000000-0005-0000-0000-000002440000}"/>
    <cellStyle name="Komma 8 3 3 2 2 2 2" xfId="29707" xr:uid="{00000000-0005-0000-0000-000003440000}"/>
    <cellStyle name="Komma 8 3 3 2 2 3" xfId="29579" xr:uid="{00000000-0005-0000-0000-000004440000}"/>
    <cellStyle name="Komma 8 3 3 2 3" xfId="13024" xr:uid="{00000000-0005-0000-0000-000005440000}"/>
    <cellStyle name="Komma 8 3 3 2 3 2" xfId="29644" xr:uid="{00000000-0005-0000-0000-000006440000}"/>
    <cellStyle name="Komma 8 3 3 2 4" xfId="29509" xr:uid="{00000000-0005-0000-0000-000007440000}"/>
    <cellStyle name="Komma 8 3 3 3" xfId="6405" xr:uid="{00000000-0005-0000-0000-000008440000}"/>
    <cellStyle name="Komma 8 3 3 3 2" xfId="15226" xr:uid="{00000000-0005-0000-0000-000009440000}"/>
    <cellStyle name="Komma 8 3 3 3 2 2" xfId="29675" xr:uid="{00000000-0005-0000-0000-00000A440000}"/>
    <cellStyle name="Komma 8 3 3 3 3" xfId="29547" xr:uid="{00000000-0005-0000-0000-00000B440000}"/>
    <cellStyle name="Komma 8 3 3 4" xfId="10819" xr:uid="{00000000-0005-0000-0000-00000C440000}"/>
    <cellStyle name="Komma 8 3 3 4 2" xfId="29612" xr:uid="{00000000-0005-0000-0000-00000D440000}"/>
    <cellStyle name="Komma 8 3 3 5" xfId="29477" xr:uid="{00000000-0005-0000-0000-00000E440000}"/>
    <cellStyle name="Komma 8 3 4" xfId="1536" xr:uid="{00000000-0005-0000-0000-00000F440000}"/>
    <cellStyle name="Komma 8 3 4 2" xfId="3478" xr:uid="{00000000-0005-0000-0000-000010440000}"/>
    <cellStyle name="Komma 8 3 4 2 2" xfId="7872" xr:uid="{00000000-0005-0000-0000-000011440000}"/>
    <cellStyle name="Komma 8 3 4 2 2 2" xfId="16693" xr:uid="{00000000-0005-0000-0000-000012440000}"/>
    <cellStyle name="Komma 8 3 4 2 2 2 2" xfId="29697" xr:uid="{00000000-0005-0000-0000-000013440000}"/>
    <cellStyle name="Komma 8 3 4 2 2 3" xfId="29569" xr:uid="{00000000-0005-0000-0000-000014440000}"/>
    <cellStyle name="Komma 8 3 4 2 3" xfId="12286" xr:uid="{00000000-0005-0000-0000-000015440000}"/>
    <cellStyle name="Komma 8 3 4 2 3 2" xfId="29634" xr:uid="{00000000-0005-0000-0000-000016440000}"/>
    <cellStyle name="Komma 8 3 4 2 4" xfId="29499" xr:uid="{00000000-0005-0000-0000-000017440000}"/>
    <cellStyle name="Komma 8 3 4 3" xfId="5667" xr:uid="{00000000-0005-0000-0000-000018440000}"/>
    <cellStyle name="Komma 8 3 4 3 2" xfId="14488" xr:uid="{00000000-0005-0000-0000-000019440000}"/>
    <cellStyle name="Komma 8 3 4 3 2 2" xfId="29665" xr:uid="{00000000-0005-0000-0000-00001A440000}"/>
    <cellStyle name="Komma 8 3 4 3 3" xfId="29537" xr:uid="{00000000-0005-0000-0000-00001B440000}"/>
    <cellStyle name="Komma 8 3 4 4" xfId="10081" xr:uid="{00000000-0005-0000-0000-00001C440000}"/>
    <cellStyle name="Komma 8 3 4 4 2" xfId="29602" xr:uid="{00000000-0005-0000-0000-00001D440000}"/>
    <cellStyle name="Komma 8 3 4 5" xfId="29467" xr:uid="{00000000-0005-0000-0000-00001E440000}"/>
    <cellStyle name="Komma 8 3 5" xfId="2742" xr:uid="{00000000-0005-0000-0000-00001F440000}"/>
    <cellStyle name="Komma 8 3 5 2" xfId="7135" xr:uid="{00000000-0005-0000-0000-000020440000}"/>
    <cellStyle name="Komma 8 3 5 2 2" xfId="15956" xr:uid="{00000000-0005-0000-0000-000021440000}"/>
    <cellStyle name="Komma 8 3 5 2 2 2" xfId="29687" xr:uid="{00000000-0005-0000-0000-000022440000}"/>
    <cellStyle name="Komma 8 3 5 2 3" xfId="29559" xr:uid="{00000000-0005-0000-0000-000023440000}"/>
    <cellStyle name="Komma 8 3 5 3" xfId="11549" xr:uid="{00000000-0005-0000-0000-000024440000}"/>
    <cellStyle name="Komma 8 3 5 3 2" xfId="29624" xr:uid="{00000000-0005-0000-0000-000025440000}"/>
    <cellStyle name="Komma 8 3 5 4" xfId="29489" xr:uid="{00000000-0005-0000-0000-000026440000}"/>
    <cellStyle name="Komma 8 3 6" xfId="4930" xr:uid="{00000000-0005-0000-0000-000027440000}"/>
    <cellStyle name="Komma 8 3 6 2" xfId="13751" xr:uid="{00000000-0005-0000-0000-000028440000}"/>
    <cellStyle name="Komma 8 3 6 2 2" xfId="29655" xr:uid="{00000000-0005-0000-0000-000029440000}"/>
    <cellStyle name="Komma 8 3 6 3" xfId="29527" xr:uid="{00000000-0005-0000-0000-00002A440000}"/>
    <cellStyle name="Komma 8 3 7" xfId="9344" xr:uid="{00000000-0005-0000-0000-00002B440000}"/>
    <cellStyle name="Komma 8 3 7 2" xfId="29592" xr:uid="{00000000-0005-0000-0000-00002C440000}"/>
    <cellStyle name="Komma 8 3 8" xfId="29451" xr:uid="{00000000-0005-0000-0000-00002D440000}"/>
    <cellStyle name="Komma 8 4" xfId="1204" xr:uid="{00000000-0005-0000-0000-00002E440000}"/>
    <cellStyle name="Komma 8 4 2" xfId="2282" xr:uid="{00000000-0005-0000-0000-00002F440000}"/>
    <cellStyle name="Komma 8 4 2 2" xfId="4373" xr:uid="{00000000-0005-0000-0000-000030440000}"/>
    <cellStyle name="Komma 8 4 2 2 2" xfId="8794" xr:uid="{00000000-0005-0000-0000-000031440000}"/>
    <cellStyle name="Komma 8 4 2 2 2 2" xfId="17615" xr:uid="{00000000-0005-0000-0000-000032440000}"/>
    <cellStyle name="Komma 8 4 2 2 2 2 2" xfId="29709" xr:uid="{00000000-0005-0000-0000-000033440000}"/>
    <cellStyle name="Komma 8 4 2 2 2 3" xfId="29581" xr:uid="{00000000-0005-0000-0000-000034440000}"/>
    <cellStyle name="Komma 8 4 2 2 3" xfId="13208" xr:uid="{00000000-0005-0000-0000-000035440000}"/>
    <cellStyle name="Komma 8 4 2 2 3 2" xfId="29646" xr:uid="{00000000-0005-0000-0000-000036440000}"/>
    <cellStyle name="Komma 8 4 2 2 4" xfId="29511" xr:uid="{00000000-0005-0000-0000-000037440000}"/>
    <cellStyle name="Komma 8 4 2 3" xfId="6589" xr:uid="{00000000-0005-0000-0000-000038440000}"/>
    <cellStyle name="Komma 8 4 2 3 2" xfId="15410" xr:uid="{00000000-0005-0000-0000-000039440000}"/>
    <cellStyle name="Komma 8 4 2 3 2 2" xfId="29677" xr:uid="{00000000-0005-0000-0000-00003A440000}"/>
    <cellStyle name="Komma 8 4 2 3 3" xfId="29549" xr:uid="{00000000-0005-0000-0000-00003B440000}"/>
    <cellStyle name="Komma 8 4 2 4" xfId="11003" xr:uid="{00000000-0005-0000-0000-00003C440000}"/>
    <cellStyle name="Komma 8 4 2 4 2" xfId="29614" xr:uid="{00000000-0005-0000-0000-00003D440000}"/>
    <cellStyle name="Komma 8 4 2 5" xfId="29479" xr:uid="{00000000-0005-0000-0000-00003E440000}"/>
    <cellStyle name="Komma 8 4 3" xfId="1707" xr:uid="{00000000-0005-0000-0000-00003F440000}"/>
    <cellStyle name="Komma 8 4 3 2" xfId="3662" xr:uid="{00000000-0005-0000-0000-000040440000}"/>
    <cellStyle name="Komma 8 4 3 2 2" xfId="8056" xr:uid="{00000000-0005-0000-0000-000041440000}"/>
    <cellStyle name="Komma 8 4 3 2 2 2" xfId="16877" xr:uid="{00000000-0005-0000-0000-000042440000}"/>
    <cellStyle name="Komma 8 4 3 2 2 2 2" xfId="29699" xr:uid="{00000000-0005-0000-0000-000043440000}"/>
    <cellStyle name="Komma 8 4 3 2 2 3" xfId="29571" xr:uid="{00000000-0005-0000-0000-000044440000}"/>
    <cellStyle name="Komma 8 4 3 2 3" xfId="12470" xr:uid="{00000000-0005-0000-0000-000045440000}"/>
    <cellStyle name="Komma 8 4 3 2 3 2" xfId="29636" xr:uid="{00000000-0005-0000-0000-000046440000}"/>
    <cellStyle name="Komma 8 4 3 2 4" xfId="29501" xr:uid="{00000000-0005-0000-0000-000047440000}"/>
    <cellStyle name="Komma 8 4 3 3" xfId="5851" xr:uid="{00000000-0005-0000-0000-000048440000}"/>
    <cellStyle name="Komma 8 4 3 3 2" xfId="14672" xr:uid="{00000000-0005-0000-0000-000049440000}"/>
    <cellStyle name="Komma 8 4 3 3 2 2" xfId="29667" xr:uid="{00000000-0005-0000-0000-00004A440000}"/>
    <cellStyle name="Komma 8 4 3 3 3" xfId="29539" xr:uid="{00000000-0005-0000-0000-00004B440000}"/>
    <cellStyle name="Komma 8 4 3 4" xfId="10265" xr:uid="{00000000-0005-0000-0000-00004C440000}"/>
    <cellStyle name="Komma 8 4 3 4 2" xfId="29604" xr:uid="{00000000-0005-0000-0000-00004D440000}"/>
    <cellStyle name="Komma 8 4 3 5" xfId="29469" xr:uid="{00000000-0005-0000-0000-00004E440000}"/>
    <cellStyle name="Komma 8 4 4" xfId="2925" xr:uid="{00000000-0005-0000-0000-00004F440000}"/>
    <cellStyle name="Komma 8 4 4 2" xfId="7319" xr:uid="{00000000-0005-0000-0000-000050440000}"/>
    <cellStyle name="Komma 8 4 4 2 2" xfId="16140" xr:uid="{00000000-0005-0000-0000-000051440000}"/>
    <cellStyle name="Komma 8 4 4 2 2 2" xfId="29689" xr:uid="{00000000-0005-0000-0000-000052440000}"/>
    <cellStyle name="Komma 8 4 4 2 3" xfId="29561" xr:uid="{00000000-0005-0000-0000-000053440000}"/>
    <cellStyle name="Komma 8 4 4 3" xfId="11733" xr:uid="{00000000-0005-0000-0000-000054440000}"/>
    <cellStyle name="Komma 8 4 4 3 2" xfId="29626" xr:uid="{00000000-0005-0000-0000-000055440000}"/>
    <cellStyle name="Komma 8 4 4 4" xfId="29491" xr:uid="{00000000-0005-0000-0000-000056440000}"/>
    <cellStyle name="Komma 8 4 5" xfId="5114" xr:uid="{00000000-0005-0000-0000-000057440000}"/>
    <cellStyle name="Komma 8 4 5 2" xfId="13935" xr:uid="{00000000-0005-0000-0000-000058440000}"/>
    <cellStyle name="Komma 8 4 5 2 2" xfId="29657" xr:uid="{00000000-0005-0000-0000-000059440000}"/>
    <cellStyle name="Komma 8 4 5 3" xfId="29529" xr:uid="{00000000-0005-0000-0000-00005A440000}"/>
    <cellStyle name="Komma 8 4 6" xfId="9528" xr:uid="{00000000-0005-0000-0000-00005B440000}"/>
    <cellStyle name="Komma 8 4 6 2" xfId="29594" xr:uid="{00000000-0005-0000-0000-00005C440000}"/>
    <cellStyle name="Komma 8 4 7" xfId="29445" xr:uid="{00000000-0005-0000-0000-00005D440000}"/>
    <cellStyle name="Komma 8 5" xfId="2047" xr:uid="{00000000-0005-0000-0000-00005E440000}"/>
    <cellStyle name="Komma 8 5 2" xfId="4018" xr:uid="{00000000-0005-0000-0000-00005F440000}"/>
    <cellStyle name="Komma 8 5 2 2" xfId="8425" xr:uid="{00000000-0005-0000-0000-000060440000}"/>
    <cellStyle name="Komma 8 5 2 2 2" xfId="17246" xr:uid="{00000000-0005-0000-0000-000061440000}"/>
    <cellStyle name="Komma 8 5 2 2 2 2" xfId="29704" xr:uid="{00000000-0005-0000-0000-000062440000}"/>
    <cellStyle name="Komma 8 5 2 2 3" xfId="29576" xr:uid="{00000000-0005-0000-0000-000063440000}"/>
    <cellStyle name="Komma 8 5 2 3" xfId="12839" xr:uid="{00000000-0005-0000-0000-000064440000}"/>
    <cellStyle name="Komma 8 5 2 3 2" xfId="29641" xr:uid="{00000000-0005-0000-0000-000065440000}"/>
    <cellStyle name="Komma 8 5 2 4" xfId="29506" xr:uid="{00000000-0005-0000-0000-000066440000}"/>
    <cellStyle name="Komma 8 5 3" xfId="6220" xr:uid="{00000000-0005-0000-0000-000067440000}"/>
    <cellStyle name="Komma 8 5 3 2" xfId="15041" xr:uid="{00000000-0005-0000-0000-000068440000}"/>
    <cellStyle name="Komma 8 5 3 2 2" xfId="29672" xr:uid="{00000000-0005-0000-0000-000069440000}"/>
    <cellStyle name="Komma 8 5 3 3" xfId="29544" xr:uid="{00000000-0005-0000-0000-00006A440000}"/>
    <cellStyle name="Komma 8 5 4" xfId="10634" xr:uid="{00000000-0005-0000-0000-00006B440000}"/>
    <cellStyle name="Komma 8 5 4 2" xfId="29609" xr:uid="{00000000-0005-0000-0000-00006C440000}"/>
    <cellStyle name="Komma 8 5 5" xfId="29474" xr:uid="{00000000-0005-0000-0000-00006D440000}"/>
    <cellStyle name="Komma 8 6" xfId="1379" xr:uid="{00000000-0005-0000-0000-00006E440000}"/>
    <cellStyle name="Komma 8 6 2" xfId="3293" xr:uid="{00000000-0005-0000-0000-00006F440000}"/>
    <cellStyle name="Komma 8 6 2 2" xfId="7687" xr:uid="{00000000-0005-0000-0000-000070440000}"/>
    <cellStyle name="Komma 8 6 2 2 2" xfId="16508" xr:uid="{00000000-0005-0000-0000-000071440000}"/>
    <cellStyle name="Komma 8 6 2 2 2 2" xfId="29694" xr:uid="{00000000-0005-0000-0000-000072440000}"/>
    <cellStyle name="Komma 8 6 2 2 3" xfId="29566" xr:uid="{00000000-0005-0000-0000-000073440000}"/>
    <cellStyle name="Komma 8 6 2 3" xfId="12101" xr:uid="{00000000-0005-0000-0000-000074440000}"/>
    <cellStyle name="Komma 8 6 2 3 2" xfId="29631" xr:uid="{00000000-0005-0000-0000-000075440000}"/>
    <cellStyle name="Komma 8 6 2 4" xfId="29496" xr:uid="{00000000-0005-0000-0000-000076440000}"/>
    <cellStyle name="Komma 8 6 3" xfId="5482" xr:uid="{00000000-0005-0000-0000-000077440000}"/>
    <cellStyle name="Komma 8 6 3 2" xfId="14303" xr:uid="{00000000-0005-0000-0000-000078440000}"/>
    <cellStyle name="Komma 8 6 3 2 2" xfId="29662" xr:uid="{00000000-0005-0000-0000-000079440000}"/>
    <cellStyle name="Komma 8 6 3 3" xfId="29534" xr:uid="{00000000-0005-0000-0000-00007A440000}"/>
    <cellStyle name="Komma 8 6 4" xfId="9896" xr:uid="{00000000-0005-0000-0000-00007B440000}"/>
    <cellStyle name="Komma 8 6 4 2" xfId="29599" xr:uid="{00000000-0005-0000-0000-00007C440000}"/>
    <cellStyle name="Komma 8 6 5" xfId="29464" xr:uid="{00000000-0005-0000-0000-00007D440000}"/>
    <cellStyle name="Komma 8 7" xfId="2558" xr:uid="{00000000-0005-0000-0000-00007E440000}"/>
    <cellStyle name="Komma 8 7 2" xfId="6950" xr:uid="{00000000-0005-0000-0000-00007F440000}"/>
    <cellStyle name="Komma 8 7 2 2" xfId="15771" xr:uid="{00000000-0005-0000-0000-000080440000}"/>
    <cellStyle name="Komma 8 7 2 2 2" xfId="29684" xr:uid="{00000000-0005-0000-0000-000081440000}"/>
    <cellStyle name="Komma 8 7 2 3" xfId="29556" xr:uid="{00000000-0005-0000-0000-000082440000}"/>
    <cellStyle name="Komma 8 7 3" xfId="11364" xr:uid="{00000000-0005-0000-0000-000083440000}"/>
    <cellStyle name="Komma 8 7 3 2" xfId="29621" xr:uid="{00000000-0005-0000-0000-000084440000}"/>
    <cellStyle name="Komma 8 7 4" xfId="29486" xr:uid="{00000000-0005-0000-0000-000085440000}"/>
    <cellStyle name="Komma 8 8" xfId="4745" xr:uid="{00000000-0005-0000-0000-000086440000}"/>
    <cellStyle name="Komma 8 8 2" xfId="13566" xr:uid="{00000000-0005-0000-0000-000087440000}"/>
    <cellStyle name="Komma 8 8 2 2" xfId="29652" xr:uid="{00000000-0005-0000-0000-000088440000}"/>
    <cellStyle name="Komma 8 8 3" xfId="29524" xr:uid="{00000000-0005-0000-0000-000089440000}"/>
    <cellStyle name="Komma 8 9" xfId="9159" xr:uid="{00000000-0005-0000-0000-00008A440000}"/>
    <cellStyle name="Komma 8 9 2" xfId="29589" xr:uid="{00000000-0005-0000-0000-00008B440000}"/>
    <cellStyle name="Komma 9" xfId="52" xr:uid="{00000000-0005-0000-0000-00008C440000}"/>
    <cellStyle name="Komma 9 2" xfId="27466" xr:uid="{00000000-0005-0000-0000-00008D440000}"/>
    <cellStyle name="Komma 9 3" xfId="27317" xr:uid="{00000000-0005-0000-0000-00008E440000}"/>
    <cellStyle name="Komma 9 4" xfId="27501" xr:uid="{00000000-0005-0000-0000-00008F440000}"/>
    <cellStyle name="Komma 9 5" xfId="29418" xr:uid="{00000000-0005-0000-0000-000090440000}"/>
    <cellStyle name="Kontrollér celle" xfId="15" builtinId="23" customBuiltin="1"/>
    <cellStyle name="Kontroller celle 2" xfId="527" xr:uid="{00000000-0005-0000-0000-000092440000}"/>
    <cellStyle name="Kontroller celle 2 2" xfId="17998" xr:uid="{00000000-0005-0000-0000-000093440000}"/>
    <cellStyle name="Kontroller celle 2 2 2" xfId="20075" xr:uid="{00000000-0005-0000-0000-000094440000}"/>
    <cellStyle name="Kontroller celle 2 3" xfId="27384" xr:uid="{00000000-0005-0000-0000-000095440000}"/>
    <cellStyle name="Kontroller celle 3" xfId="526" xr:uid="{00000000-0005-0000-0000-000096440000}"/>
    <cellStyle name="Kontroller celle 3 2" xfId="18304" xr:uid="{00000000-0005-0000-0000-000097440000}"/>
    <cellStyle name="Kontroller celle 4" xfId="18356" xr:uid="{00000000-0005-0000-0000-000098440000}"/>
    <cellStyle name="Kontroller celle 4 2" xfId="27273" xr:uid="{00000000-0005-0000-0000-000099440000}"/>
    <cellStyle name="Link 2" xfId="528" xr:uid="{00000000-0005-0000-0000-00009A440000}"/>
    <cellStyle name="Link 2 2" xfId="4719" xr:uid="{00000000-0005-0000-0000-00009B440000}"/>
    <cellStyle name="Link 2 3" xfId="25027" xr:uid="{00000000-0005-0000-0000-00009C440000}"/>
    <cellStyle name="Link 3" xfId="22947" xr:uid="{00000000-0005-0000-0000-00009D440000}"/>
    <cellStyle name="Link 3 2" xfId="27271" xr:uid="{00000000-0005-0000-0000-00009E440000}"/>
    <cellStyle name="Link 4" xfId="27161" xr:uid="{00000000-0005-0000-0000-00009F440000}"/>
    <cellStyle name="Link 4 2" xfId="27279" xr:uid="{00000000-0005-0000-0000-0000A0440000}"/>
    <cellStyle name="Link 5" xfId="27190" xr:uid="{00000000-0005-0000-0000-0000A1440000}"/>
    <cellStyle name="Link 6" xfId="27173" xr:uid="{00000000-0005-0000-0000-0000A2440000}"/>
    <cellStyle name="Link 7" xfId="27148" xr:uid="{00000000-0005-0000-0000-0000A3440000}"/>
    <cellStyle name="Link 8" xfId="27209" xr:uid="{00000000-0005-0000-0000-0000A4440000}"/>
    <cellStyle name="Link 9" xfId="25037" xr:uid="{00000000-0005-0000-0000-0000A5440000}"/>
    <cellStyle name="Linked Cell" xfId="18051" xr:uid="{00000000-0005-0000-0000-0000A6440000}"/>
    <cellStyle name="Markeringsfarve1 2" xfId="530" xr:uid="{00000000-0005-0000-0000-0000A7440000}"/>
    <cellStyle name="Markeringsfarve1 2 2" xfId="17999" xr:uid="{00000000-0005-0000-0000-0000A8440000}"/>
    <cellStyle name="Markeringsfarve1 2 2 2" xfId="27257" xr:uid="{00000000-0005-0000-0000-0000A9440000}"/>
    <cellStyle name="Markeringsfarve1 2 3" xfId="27358" xr:uid="{00000000-0005-0000-0000-0000AA440000}"/>
    <cellStyle name="Markeringsfarve1 3" xfId="529" xr:uid="{00000000-0005-0000-0000-0000AB440000}"/>
    <cellStyle name="Markeringsfarve1 3 2" xfId="18305" xr:uid="{00000000-0005-0000-0000-0000AC440000}"/>
    <cellStyle name="Markeringsfarve1 4" xfId="18357" xr:uid="{00000000-0005-0000-0000-0000AD440000}"/>
    <cellStyle name="Markeringsfarve1 4 2" xfId="27265" xr:uid="{00000000-0005-0000-0000-0000AE440000}"/>
    <cellStyle name="Markeringsfarve2 2" xfId="532" xr:uid="{00000000-0005-0000-0000-0000AF440000}"/>
    <cellStyle name="Markeringsfarve2 2 2" xfId="18000" xr:uid="{00000000-0005-0000-0000-0000B0440000}"/>
    <cellStyle name="Markeringsfarve2 2 2 2" xfId="27241" xr:uid="{00000000-0005-0000-0000-0000B1440000}"/>
    <cellStyle name="Markeringsfarve2 2 3" xfId="27362" xr:uid="{00000000-0005-0000-0000-0000B2440000}"/>
    <cellStyle name="Markeringsfarve2 3" xfId="531" xr:uid="{00000000-0005-0000-0000-0000B3440000}"/>
    <cellStyle name="Markeringsfarve2 3 2" xfId="18306" xr:uid="{00000000-0005-0000-0000-0000B4440000}"/>
    <cellStyle name="Markeringsfarve2 4" xfId="18358" xr:uid="{00000000-0005-0000-0000-0000B5440000}"/>
    <cellStyle name="Markeringsfarve2 4 2" xfId="20752" xr:uid="{00000000-0005-0000-0000-0000B6440000}"/>
    <cellStyle name="Markeringsfarve3 2" xfId="534" xr:uid="{00000000-0005-0000-0000-0000B7440000}"/>
    <cellStyle name="Markeringsfarve3 2 2" xfId="18001" xr:uid="{00000000-0005-0000-0000-0000B8440000}"/>
    <cellStyle name="Markeringsfarve3 2 2 2" xfId="27288" xr:uid="{00000000-0005-0000-0000-0000B9440000}"/>
    <cellStyle name="Markeringsfarve3 2 3" xfId="27366" xr:uid="{00000000-0005-0000-0000-0000BA440000}"/>
    <cellStyle name="Markeringsfarve3 3" xfId="533" xr:uid="{00000000-0005-0000-0000-0000BB440000}"/>
    <cellStyle name="Markeringsfarve3 3 2" xfId="18307" xr:uid="{00000000-0005-0000-0000-0000BC440000}"/>
    <cellStyle name="Markeringsfarve3 4" xfId="18359" xr:uid="{00000000-0005-0000-0000-0000BD440000}"/>
    <cellStyle name="Markeringsfarve3 4 2" xfId="27237" xr:uid="{00000000-0005-0000-0000-0000BE440000}"/>
    <cellStyle name="Markeringsfarve4 2" xfId="536" xr:uid="{00000000-0005-0000-0000-0000BF440000}"/>
    <cellStyle name="Markeringsfarve4 2 2" xfId="18002" xr:uid="{00000000-0005-0000-0000-0000C0440000}"/>
    <cellStyle name="Markeringsfarve4 2 2 2" xfId="20760" xr:uid="{00000000-0005-0000-0000-0000C1440000}"/>
    <cellStyle name="Markeringsfarve4 2 3" xfId="27370" xr:uid="{00000000-0005-0000-0000-0000C2440000}"/>
    <cellStyle name="Markeringsfarve4 3" xfId="535" xr:uid="{00000000-0005-0000-0000-0000C3440000}"/>
    <cellStyle name="Markeringsfarve4 3 2" xfId="18308" xr:uid="{00000000-0005-0000-0000-0000C4440000}"/>
    <cellStyle name="Markeringsfarve4 4" xfId="18360" xr:uid="{00000000-0005-0000-0000-0000C5440000}"/>
    <cellStyle name="Markeringsfarve4 4 2" xfId="18643" xr:uid="{00000000-0005-0000-0000-0000C6440000}"/>
    <cellStyle name="Markeringsfarve5 2" xfId="538" xr:uid="{00000000-0005-0000-0000-0000C7440000}"/>
    <cellStyle name="Markeringsfarve5 2 2" xfId="18003" xr:uid="{00000000-0005-0000-0000-0000C8440000}"/>
    <cellStyle name="Markeringsfarve5 2 2 2" xfId="27229" xr:uid="{00000000-0005-0000-0000-0000C9440000}"/>
    <cellStyle name="Markeringsfarve5 2 3" xfId="27374" xr:uid="{00000000-0005-0000-0000-0000CA440000}"/>
    <cellStyle name="Markeringsfarve5 3" xfId="537" xr:uid="{00000000-0005-0000-0000-0000CB440000}"/>
    <cellStyle name="Markeringsfarve5 3 2" xfId="18309" xr:uid="{00000000-0005-0000-0000-0000CC440000}"/>
    <cellStyle name="Markeringsfarve5 4" xfId="18361" xr:uid="{00000000-0005-0000-0000-0000CD440000}"/>
    <cellStyle name="Markeringsfarve5 4 2" xfId="27278" xr:uid="{00000000-0005-0000-0000-0000CE440000}"/>
    <cellStyle name="Markeringsfarve6 2" xfId="540" xr:uid="{00000000-0005-0000-0000-0000CF440000}"/>
    <cellStyle name="Markeringsfarve6 2 2" xfId="18004" xr:uid="{00000000-0005-0000-0000-0000D0440000}"/>
    <cellStyle name="Markeringsfarve6 2 2 2" xfId="27249" xr:uid="{00000000-0005-0000-0000-0000D1440000}"/>
    <cellStyle name="Markeringsfarve6 2 3" xfId="27378" xr:uid="{00000000-0005-0000-0000-0000D2440000}"/>
    <cellStyle name="Markeringsfarve6 3" xfId="539" xr:uid="{00000000-0005-0000-0000-0000D3440000}"/>
    <cellStyle name="Markeringsfarve6 3 2" xfId="18310" xr:uid="{00000000-0005-0000-0000-0000D4440000}"/>
    <cellStyle name="Markeringsfarve6 4" xfId="18362" xr:uid="{00000000-0005-0000-0000-0000D5440000}"/>
    <cellStyle name="Markeringsfarve6 4 2" xfId="19827" xr:uid="{00000000-0005-0000-0000-0000D6440000}"/>
    <cellStyle name="Neutral" xfId="10" builtinId="28" customBuiltin="1"/>
    <cellStyle name="Neutral 2" xfId="542" xr:uid="{00000000-0005-0000-0000-0000D8440000}"/>
    <cellStyle name="Neutral 2 2" xfId="18005" xr:uid="{00000000-0005-0000-0000-0000D9440000}"/>
    <cellStyle name="Neutral 2 2 2" xfId="27240" xr:uid="{00000000-0005-0000-0000-0000DA440000}"/>
    <cellStyle name="Neutral 2 3" xfId="18164" xr:uid="{00000000-0005-0000-0000-0000DB440000}"/>
    <cellStyle name="Neutral 2 4" xfId="27395" xr:uid="{00000000-0005-0000-0000-0000DC440000}"/>
    <cellStyle name="Neutral 3" xfId="541" xr:uid="{00000000-0005-0000-0000-0000DD440000}"/>
    <cellStyle name="Neutral 3 2" xfId="18187" xr:uid="{00000000-0005-0000-0000-0000DE440000}"/>
    <cellStyle name="Neutral 4" xfId="18234" xr:uid="{00000000-0005-0000-0000-0000DF440000}"/>
    <cellStyle name="Neutral 4 2" xfId="27230" xr:uid="{00000000-0005-0000-0000-0000E0440000}"/>
    <cellStyle name="Neutral 5" xfId="18311" xr:uid="{00000000-0005-0000-0000-0000E1440000}"/>
    <cellStyle name="Neutral 6" xfId="18363" xr:uid="{00000000-0005-0000-0000-0000E2440000}"/>
    <cellStyle name="Neutral 7" xfId="18052" xr:uid="{00000000-0005-0000-0000-0000E3440000}"/>
    <cellStyle name="Neutral 8" xfId="29768" xr:uid="{00000000-0005-0000-0000-0000E4440000}"/>
    <cellStyle name="Normal" xfId="0" builtinId="0"/>
    <cellStyle name="Normal 10" xfId="151" xr:uid="{00000000-0005-0000-0000-0000E6440000}"/>
    <cellStyle name="Normal 10 10" xfId="2549" xr:uid="{00000000-0005-0000-0000-0000E7440000}"/>
    <cellStyle name="Normal 10 10 2" xfId="6941" xr:uid="{00000000-0005-0000-0000-0000E8440000}"/>
    <cellStyle name="Normal 10 10 2 2" xfId="15762" xr:uid="{00000000-0005-0000-0000-0000E9440000}"/>
    <cellStyle name="Normal 10 10 3" xfId="11355" xr:uid="{00000000-0005-0000-0000-0000EA440000}"/>
    <cellStyle name="Normal 10 11" xfId="4726" xr:uid="{00000000-0005-0000-0000-0000EB440000}"/>
    <cellStyle name="Normal 10 11 2" xfId="13548" xr:uid="{00000000-0005-0000-0000-0000EC440000}"/>
    <cellStyle name="Normal 10 12" xfId="9128" xr:uid="{00000000-0005-0000-0000-0000ED440000}"/>
    <cellStyle name="Normal 10 13" xfId="18006" xr:uid="{00000000-0005-0000-0000-0000EE440000}"/>
    <cellStyle name="Normal 10 14" xfId="28323" xr:uid="{00000000-0005-0000-0000-0000EF440000}"/>
    <cellStyle name="Normal 10 15" xfId="29244" xr:uid="{00000000-0005-0000-0000-0000F0440000}"/>
    <cellStyle name="Normal 10 2" xfId="248" xr:uid="{00000000-0005-0000-0000-0000F1440000}"/>
    <cellStyle name="Normal 10 2 10" xfId="9135" xr:uid="{00000000-0005-0000-0000-0000F2440000}"/>
    <cellStyle name="Normal 10 2 11" xfId="18073" xr:uid="{00000000-0005-0000-0000-0000F3440000}"/>
    <cellStyle name="Normal 10 2 12" xfId="28324" xr:uid="{00000000-0005-0000-0000-0000F4440000}"/>
    <cellStyle name="Normal 10 2 13" xfId="29245" xr:uid="{00000000-0005-0000-0000-0000F5440000}"/>
    <cellStyle name="Normal 10 2 2" xfId="455" xr:uid="{00000000-0005-0000-0000-0000F6440000}"/>
    <cellStyle name="Normal 10 2 2 10" xfId="28325" xr:uid="{00000000-0005-0000-0000-0000F7440000}"/>
    <cellStyle name="Normal 10 2 2 11" xfId="29246" xr:uid="{00000000-0005-0000-0000-0000F8440000}"/>
    <cellStyle name="Normal 10 2 2 2" xfId="948" xr:uid="{00000000-0005-0000-0000-0000F9440000}"/>
    <cellStyle name="Normal 10 2 2 2 10" xfId="29247" xr:uid="{00000000-0005-0000-0000-0000FA440000}"/>
    <cellStyle name="Normal 10 2 2 2 2" xfId="1291" xr:uid="{00000000-0005-0000-0000-0000FB440000}"/>
    <cellStyle name="Normal 10 2 2 2 2 2" xfId="1333" xr:uid="{00000000-0005-0000-0000-0000FC440000}"/>
    <cellStyle name="Normal 10 2 2 2 2 2 2" xfId="2481" xr:uid="{00000000-0005-0000-0000-0000FD440000}"/>
    <cellStyle name="Normal 10 2 2 2 2 2 2 2" xfId="4651" xr:uid="{00000000-0005-0000-0000-0000FE440000}"/>
    <cellStyle name="Normal 10 2 2 2 2 2 2 2 2" xfId="9074" xr:uid="{00000000-0005-0000-0000-0000FF440000}"/>
    <cellStyle name="Normal 10 2 2 2 2 2 2 2 2 2" xfId="17895" xr:uid="{00000000-0005-0000-0000-000000450000}"/>
    <cellStyle name="Normal 10 2 2 2 2 2 2 2 3" xfId="13488" xr:uid="{00000000-0005-0000-0000-000001450000}"/>
    <cellStyle name="Normal 10 2 2 2 2 2 2 3" xfId="6869" xr:uid="{00000000-0005-0000-0000-000002450000}"/>
    <cellStyle name="Normal 10 2 2 2 2 2 2 3 2" xfId="15690" xr:uid="{00000000-0005-0000-0000-000003450000}"/>
    <cellStyle name="Normal 10 2 2 2 2 2 2 4" xfId="11283" xr:uid="{00000000-0005-0000-0000-000004450000}"/>
    <cellStyle name="Normal 10 2 2 2 2 2 3" xfId="1985" xr:uid="{00000000-0005-0000-0000-000005450000}"/>
    <cellStyle name="Normal 10 2 2 2 2 2 3 2" xfId="3942" xr:uid="{00000000-0005-0000-0000-000006450000}"/>
    <cellStyle name="Normal 10 2 2 2 2 2 3 2 2" xfId="8336" xr:uid="{00000000-0005-0000-0000-000007450000}"/>
    <cellStyle name="Normal 10 2 2 2 2 2 3 2 2 2" xfId="17157" xr:uid="{00000000-0005-0000-0000-000008450000}"/>
    <cellStyle name="Normal 10 2 2 2 2 2 3 2 3" xfId="12750" xr:uid="{00000000-0005-0000-0000-000009450000}"/>
    <cellStyle name="Normal 10 2 2 2 2 2 3 3" xfId="6131" xr:uid="{00000000-0005-0000-0000-00000A450000}"/>
    <cellStyle name="Normal 10 2 2 2 2 2 3 3 2" xfId="14952" xr:uid="{00000000-0005-0000-0000-00000B450000}"/>
    <cellStyle name="Normal 10 2 2 2 2 2 3 4" xfId="10545" xr:uid="{00000000-0005-0000-0000-00000C450000}"/>
    <cellStyle name="Normal 10 2 2 2 2 2 4" xfId="3205" xr:uid="{00000000-0005-0000-0000-00000D450000}"/>
    <cellStyle name="Normal 10 2 2 2 2 2 4 2" xfId="7599" xr:uid="{00000000-0005-0000-0000-00000E450000}"/>
    <cellStyle name="Normal 10 2 2 2 2 2 4 2 2" xfId="16420" xr:uid="{00000000-0005-0000-0000-00000F450000}"/>
    <cellStyle name="Normal 10 2 2 2 2 2 4 3" xfId="12013" xr:uid="{00000000-0005-0000-0000-000010450000}"/>
    <cellStyle name="Normal 10 2 2 2 2 2 5" xfId="5394" xr:uid="{00000000-0005-0000-0000-000011450000}"/>
    <cellStyle name="Normal 10 2 2 2 2 2 5 2" xfId="14215" xr:uid="{00000000-0005-0000-0000-000012450000}"/>
    <cellStyle name="Normal 10 2 2 2 2 2 6" xfId="9808" xr:uid="{00000000-0005-0000-0000-000013450000}"/>
    <cellStyle name="Normal 10 2 2 2 2 2 7" xfId="27521" xr:uid="{00000000-0005-0000-0000-000014450000}"/>
    <cellStyle name="Normal 10 2 2 2 2 3" xfId="2220" xr:uid="{00000000-0005-0000-0000-000015450000}"/>
    <cellStyle name="Normal 10 2 2 2 2 3 2" xfId="4296" xr:uid="{00000000-0005-0000-0000-000016450000}"/>
    <cellStyle name="Normal 10 2 2 2 2 3 2 2" xfId="8705" xr:uid="{00000000-0005-0000-0000-000017450000}"/>
    <cellStyle name="Normal 10 2 2 2 2 3 2 2 2" xfId="17526" xr:uid="{00000000-0005-0000-0000-000018450000}"/>
    <cellStyle name="Normal 10 2 2 2 2 3 2 3" xfId="13119" xr:uid="{00000000-0005-0000-0000-000019450000}"/>
    <cellStyle name="Normal 10 2 2 2 2 3 3" xfId="6500" xr:uid="{00000000-0005-0000-0000-00001A450000}"/>
    <cellStyle name="Normal 10 2 2 2 2 3 3 2" xfId="15321" xr:uid="{00000000-0005-0000-0000-00001B450000}"/>
    <cellStyle name="Normal 10 2 2 2 2 3 4" xfId="10914" xr:uid="{00000000-0005-0000-0000-00001C450000}"/>
    <cellStyle name="Normal 10 2 2 2 2 3 5" xfId="27522" xr:uid="{00000000-0005-0000-0000-00001D450000}"/>
    <cellStyle name="Normal 10 2 2 2 2 4" xfId="1630" xr:uid="{00000000-0005-0000-0000-00001E450000}"/>
    <cellStyle name="Normal 10 2 2 2 2 4 2" xfId="3573" xr:uid="{00000000-0005-0000-0000-00001F450000}"/>
    <cellStyle name="Normal 10 2 2 2 2 4 2 2" xfId="7967" xr:uid="{00000000-0005-0000-0000-000020450000}"/>
    <cellStyle name="Normal 10 2 2 2 2 4 2 2 2" xfId="16788" xr:uid="{00000000-0005-0000-0000-000021450000}"/>
    <cellStyle name="Normal 10 2 2 2 2 4 2 3" xfId="12381" xr:uid="{00000000-0005-0000-0000-000022450000}"/>
    <cellStyle name="Normal 10 2 2 2 2 4 3" xfId="5762" xr:uid="{00000000-0005-0000-0000-000023450000}"/>
    <cellStyle name="Normal 10 2 2 2 2 4 3 2" xfId="14583" xr:uid="{00000000-0005-0000-0000-000024450000}"/>
    <cellStyle name="Normal 10 2 2 2 2 4 4" xfId="10176" xr:uid="{00000000-0005-0000-0000-000025450000}"/>
    <cellStyle name="Normal 10 2 2 2 2 5" xfId="2836" xr:uid="{00000000-0005-0000-0000-000026450000}"/>
    <cellStyle name="Normal 10 2 2 2 2 5 2" xfId="7230" xr:uid="{00000000-0005-0000-0000-000027450000}"/>
    <cellStyle name="Normal 10 2 2 2 2 5 2 2" xfId="16051" xr:uid="{00000000-0005-0000-0000-000028450000}"/>
    <cellStyle name="Normal 10 2 2 2 2 5 3" xfId="11644" xr:uid="{00000000-0005-0000-0000-000029450000}"/>
    <cellStyle name="Normal 10 2 2 2 2 6" xfId="5025" xr:uid="{00000000-0005-0000-0000-00002A450000}"/>
    <cellStyle name="Normal 10 2 2 2 2 6 2" xfId="13846" xr:uid="{00000000-0005-0000-0000-00002B450000}"/>
    <cellStyle name="Normal 10 2 2 2 2 7" xfId="9439" xr:uid="{00000000-0005-0000-0000-00002C450000}"/>
    <cellStyle name="Normal 10 2 2 2 2 8" xfId="27518" xr:uid="{00000000-0005-0000-0000-00002D450000}"/>
    <cellStyle name="Normal 10 2 2 2 3" xfId="1167" xr:uid="{00000000-0005-0000-0000-00002E450000}"/>
    <cellStyle name="Normal 10 2 2 2 3 2" xfId="2350" xr:uid="{00000000-0005-0000-0000-00002F450000}"/>
    <cellStyle name="Normal 10 2 2 2 3 2 2" xfId="4467" xr:uid="{00000000-0005-0000-0000-000030450000}"/>
    <cellStyle name="Normal 10 2 2 2 3 2 2 2" xfId="8889" xr:uid="{00000000-0005-0000-0000-000031450000}"/>
    <cellStyle name="Normal 10 2 2 2 3 2 2 2 2" xfId="17710" xr:uid="{00000000-0005-0000-0000-000032450000}"/>
    <cellStyle name="Normal 10 2 2 2 3 2 2 3" xfId="13303" xr:uid="{00000000-0005-0000-0000-000033450000}"/>
    <cellStyle name="Normal 10 2 2 2 3 2 3" xfId="6684" xr:uid="{00000000-0005-0000-0000-000034450000}"/>
    <cellStyle name="Normal 10 2 2 2 3 2 3 2" xfId="15505" xr:uid="{00000000-0005-0000-0000-000035450000}"/>
    <cellStyle name="Normal 10 2 2 2 3 2 4" xfId="11098" xr:uid="{00000000-0005-0000-0000-000036450000}"/>
    <cellStyle name="Normal 10 2 2 2 3 3" xfId="1801" xr:uid="{00000000-0005-0000-0000-000037450000}"/>
    <cellStyle name="Normal 10 2 2 2 3 3 2" xfId="3757" xr:uid="{00000000-0005-0000-0000-000038450000}"/>
    <cellStyle name="Normal 10 2 2 2 3 3 2 2" xfId="8151" xr:uid="{00000000-0005-0000-0000-000039450000}"/>
    <cellStyle name="Normal 10 2 2 2 3 3 2 2 2" xfId="16972" xr:uid="{00000000-0005-0000-0000-00003A450000}"/>
    <cellStyle name="Normal 10 2 2 2 3 3 2 3" xfId="12565" xr:uid="{00000000-0005-0000-0000-00003B450000}"/>
    <cellStyle name="Normal 10 2 2 2 3 3 3" xfId="5946" xr:uid="{00000000-0005-0000-0000-00003C450000}"/>
    <cellStyle name="Normal 10 2 2 2 3 3 3 2" xfId="14767" xr:uid="{00000000-0005-0000-0000-00003D450000}"/>
    <cellStyle name="Normal 10 2 2 2 3 3 4" xfId="10360" xr:uid="{00000000-0005-0000-0000-00003E450000}"/>
    <cellStyle name="Normal 10 2 2 2 3 4" xfId="3020" xr:uid="{00000000-0005-0000-0000-00003F450000}"/>
    <cellStyle name="Normal 10 2 2 2 3 4 2" xfId="7414" xr:uid="{00000000-0005-0000-0000-000040450000}"/>
    <cellStyle name="Normal 10 2 2 2 3 4 2 2" xfId="16235" xr:uid="{00000000-0005-0000-0000-000041450000}"/>
    <cellStyle name="Normal 10 2 2 2 3 4 3" xfId="11828" xr:uid="{00000000-0005-0000-0000-000042450000}"/>
    <cellStyle name="Normal 10 2 2 2 3 5" xfId="5209" xr:uid="{00000000-0005-0000-0000-000043450000}"/>
    <cellStyle name="Normal 10 2 2 2 3 5 2" xfId="14030" xr:uid="{00000000-0005-0000-0000-000044450000}"/>
    <cellStyle name="Normal 10 2 2 2 3 6" xfId="9623" xr:uid="{00000000-0005-0000-0000-000045450000}"/>
    <cellStyle name="Normal 10 2 2 2 4" xfId="2089" xr:uid="{00000000-0005-0000-0000-000046450000}"/>
    <cellStyle name="Normal 10 2 2 2 4 2" xfId="4112" xr:uid="{00000000-0005-0000-0000-000047450000}"/>
    <cellStyle name="Normal 10 2 2 2 4 2 2" xfId="8520" xr:uid="{00000000-0005-0000-0000-000048450000}"/>
    <cellStyle name="Normal 10 2 2 2 4 2 2 2" xfId="17341" xr:uid="{00000000-0005-0000-0000-000049450000}"/>
    <cellStyle name="Normal 10 2 2 2 4 2 3" xfId="12934" xr:uid="{00000000-0005-0000-0000-00004A450000}"/>
    <cellStyle name="Normal 10 2 2 2 4 3" xfId="6315" xr:uid="{00000000-0005-0000-0000-00004B450000}"/>
    <cellStyle name="Normal 10 2 2 2 4 3 2" xfId="15136" xr:uid="{00000000-0005-0000-0000-00004C450000}"/>
    <cellStyle name="Normal 10 2 2 2 4 4" xfId="10729" xr:uid="{00000000-0005-0000-0000-00004D450000}"/>
    <cellStyle name="Normal 10 2 2 2 5" xfId="1447" xr:uid="{00000000-0005-0000-0000-00004E450000}"/>
    <cellStyle name="Normal 10 2 2 2 5 2" xfId="3388" xr:uid="{00000000-0005-0000-0000-00004F450000}"/>
    <cellStyle name="Normal 10 2 2 2 5 2 2" xfId="7782" xr:uid="{00000000-0005-0000-0000-000050450000}"/>
    <cellStyle name="Normal 10 2 2 2 5 2 2 2" xfId="16603" xr:uid="{00000000-0005-0000-0000-000051450000}"/>
    <cellStyle name="Normal 10 2 2 2 5 2 3" xfId="12196" xr:uid="{00000000-0005-0000-0000-000052450000}"/>
    <cellStyle name="Normal 10 2 2 2 5 3" xfId="5577" xr:uid="{00000000-0005-0000-0000-000053450000}"/>
    <cellStyle name="Normal 10 2 2 2 5 3 2" xfId="14398" xr:uid="{00000000-0005-0000-0000-000054450000}"/>
    <cellStyle name="Normal 10 2 2 2 5 4" xfId="9991" xr:uid="{00000000-0005-0000-0000-000055450000}"/>
    <cellStyle name="Normal 10 2 2 2 6" xfId="2652" xr:uid="{00000000-0005-0000-0000-000056450000}"/>
    <cellStyle name="Normal 10 2 2 2 6 2" xfId="7045" xr:uid="{00000000-0005-0000-0000-000057450000}"/>
    <cellStyle name="Normal 10 2 2 2 6 2 2" xfId="15866" xr:uid="{00000000-0005-0000-0000-000058450000}"/>
    <cellStyle name="Normal 10 2 2 2 6 3" xfId="11459" xr:uid="{00000000-0005-0000-0000-000059450000}"/>
    <cellStyle name="Normal 10 2 2 2 7" xfId="4840" xr:uid="{00000000-0005-0000-0000-00005A450000}"/>
    <cellStyle name="Normal 10 2 2 2 7 2" xfId="13661" xr:uid="{00000000-0005-0000-0000-00005B450000}"/>
    <cellStyle name="Normal 10 2 2 2 8" xfId="9254" xr:uid="{00000000-0005-0000-0000-00005C450000}"/>
    <cellStyle name="Normal 10 2 2 2 9" xfId="28326" xr:uid="{00000000-0005-0000-0000-00005D450000}"/>
    <cellStyle name="Normal 10 2 2 3" xfId="1273" xr:uid="{00000000-0005-0000-0000-00005E450000}"/>
    <cellStyle name="Normal 10 2 2 3 2" xfId="1321" xr:uid="{00000000-0005-0000-0000-00005F450000}"/>
    <cellStyle name="Normal 10 2 2 3 2 2" xfId="2416" xr:uid="{00000000-0005-0000-0000-000060450000}"/>
    <cellStyle name="Normal 10 2 2 3 2 2 2" xfId="4560" xr:uid="{00000000-0005-0000-0000-000061450000}"/>
    <cellStyle name="Normal 10 2 2 3 2 2 2 2" xfId="8982" xr:uid="{00000000-0005-0000-0000-000062450000}"/>
    <cellStyle name="Normal 10 2 2 3 2 2 2 2 2" xfId="17803" xr:uid="{00000000-0005-0000-0000-000063450000}"/>
    <cellStyle name="Normal 10 2 2 3 2 2 2 3" xfId="13396" xr:uid="{00000000-0005-0000-0000-000064450000}"/>
    <cellStyle name="Normal 10 2 2 3 2 2 3" xfId="6777" xr:uid="{00000000-0005-0000-0000-000065450000}"/>
    <cellStyle name="Normal 10 2 2 3 2 2 3 2" xfId="15598" xr:uid="{00000000-0005-0000-0000-000066450000}"/>
    <cellStyle name="Normal 10 2 2 3 2 2 4" xfId="11191" xr:uid="{00000000-0005-0000-0000-000067450000}"/>
    <cellStyle name="Normal 10 2 2 3 2 3" xfId="1894" xr:uid="{00000000-0005-0000-0000-000068450000}"/>
    <cellStyle name="Normal 10 2 2 3 2 3 2" xfId="3850" xr:uid="{00000000-0005-0000-0000-000069450000}"/>
    <cellStyle name="Normal 10 2 2 3 2 3 2 2" xfId="8244" xr:uid="{00000000-0005-0000-0000-00006A450000}"/>
    <cellStyle name="Normal 10 2 2 3 2 3 2 2 2" xfId="17065" xr:uid="{00000000-0005-0000-0000-00006B450000}"/>
    <cellStyle name="Normal 10 2 2 3 2 3 2 3" xfId="12658" xr:uid="{00000000-0005-0000-0000-00006C450000}"/>
    <cellStyle name="Normal 10 2 2 3 2 3 3" xfId="6039" xr:uid="{00000000-0005-0000-0000-00006D450000}"/>
    <cellStyle name="Normal 10 2 2 3 2 3 3 2" xfId="14860" xr:uid="{00000000-0005-0000-0000-00006E450000}"/>
    <cellStyle name="Normal 10 2 2 3 2 3 4" xfId="10453" xr:uid="{00000000-0005-0000-0000-00006F450000}"/>
    <cellStyle name="Normal 10 2 2 3 2 4" xfId="3113" xr:uid="{00000000-0005-0000-0000-000070450000}"/>
    <cellStyle name="Normal 10 2 2 3 2 4 2" xfId="7507" xr:uid="{00000000-0005-0000-0000-000071450000}"/>
    <cellStyle name="Normal 10 2 2 3 2 4 2 2" xfId="16328" xr:uid="{00000000-0005-0000-0000-000072450000}"/>
    <cellStyle name="Normal 10 2 2 3 2 4 3" xfId="11921" xr:uid="{00000000-0005-0000-0000-000073450000}"/>
    <cellStyle name="Normal 10 2 2 3 2 5" xfId="5302" xr:uid="{00000000-0005-0000-0000-000074450000}"/>
    <cellStyle name="Normal 10 2 2 3 2 5 2" xfId="14123" xr:uid="{00000000-0005-0000-0000-000075450000}"/>
    <cellStyle name="Normal 10 2 2 3 2 6" xfId="9716" xr:uid="{00000000-0005-0000-0000-000076450000}"/>
    <cellStyle name="Normal 10 2 2 3 3" xfId="2155" xr:uid="{00000000-0005-0000-0000-000077450000}"/>
    <cellStyle name="Normal 10 2 2 3 3 2" xfId="4205" xr:uid="{00000000-0005-0000-0000-000078450000}"/>
    <cellStyle name="Normal 10 2 2 3 3 2 2" xfId="8613" xr:uid="{00000000-0005-0000-0000-000079450000}"/>
    <cellStyle name="Normal 10 2 2 3 3 2 2 2" xfId="17434" xr:uid="{00000000-0005-0000-0000-00007A450000}"/>
    <cellStyle name="Normal 10 2 2 3 3 2 3" xfId="13027" xr:uid="{00000000-0005-0000-0000-00007B450000}"/>
    <cellStyle name="Normal 10 2 2 3 3 3" xfId="6408" xr:uid="{00000000-0005-0000-0000-00007C450000}"/>
    <cellStyle name="Normal 10 2 2 3 3 3 2" xfId="15229" xr:uid="{00000000-0005-0000-0000-00007D450000}"/>
    <cellStyle name="Normal 10 2 2 3 3 4" xfId="10822" xr:uid="{00000000-0005-0000-0000-00007E450000}"/>
    <cellStyle name="Normal 10 2 2 3 4" xfId="1539" xr:uid="{00000000-0005-0000-0000-00007F450000}"/>
    <cellStyle name="Normal 10 2 2 3 4 2" xfId="3481" xr:uid="{00000000-0005-0000-0000-000080450000}"/>
    <cellStyle name="Normal 10 2 2 3 4 2 2" xfId="7875" xr:uid="{00000000-0005-0000-0000-000081450000}"/>
    <cellStyle name="Normal 10 2 2 3 4 2 2 2" xfId="16696" xr:uid="{00000000-0005-0000-0000-000082450000}"/>
    <cellStyle name="Normal 10 2 2 3 4 2 3" xfId="12289" xr:uid="{00000000-0005-0000-0000-000083450000}"/>
    <cellStyle name="Normal 10 2 2 3 4 3" xfId="5670" xr:uid="{00000000-0005-0000-0000-000084450000}"/>
    <cellStyle name="Normal 10 2 2 3 4 3 2" xfId="14491" xr:uid="{00000000-0005-0000-0000-000085450000}"/>
    <cellStyle name="Normal 10 2 2 3 4 4" xfId="10084" xr:uid="{00000000-0005-0000-0000-000086450000}"/>
    <cellStyle name="Normal 10 2 2 3 5" xfId="2745" xr:uid="{00000000-0005-0000-0000-000087450000}"/>
    <cellStyle name="Normal 10 2 2 3 5 2" xfId="7138" xr:uid="{00000000-0005-0000-0000-000088450000}"/>
    <cellStyle name="Normal 10 2 2 3 5 2 2" xfId="15959" xr:uid="{00000000-0005-0000-0000-000089450000}"/>
    <cellStyle name="Normal 10 2 2 3 5 3" xfId="11552" xr:uid="{00000000-0005-0000-0000-00008A450000}"/>
    <cellStyle name="Normal 10 2 2 3 6" xfId="4933" xr:uid="{00000000-0005-0000-0000-00008B450000}"/>
    <cellStyle name="Normal 10 2 2 3 6 2" xfId="13754" xr:uid="{00000000-0005-0000-0000-00008C450000}"/>
    <cellStyle name="Normal 10 2 2 3 7" xfId="9347" xr:uid="{00000000-0005-0000-0000-00008D450000}"/>
    <cellStyle name="Normal 10 2 2 4" xfId="1130" xr:uid="{00000000-0005-0000-0000-00008E450000}"/>
    <cellStyle name="Normal 10 2 2 4 2" xfId="2285" xr:uid="{00000000-0005-0000-0000-00008F450000}"/>
    <cellStyle name="Normal 10 2 2 4 2 2" xfId="4376" xr:uid="{00000000-0005-0000-0000-000090450000}"/>
    <cellStyle name="Normal 10 2 2 4 2 2 2" xfId="8797" xr:uid="{00000000-0005-0000-0000-000091450000}"/>
    <cellStyle name="Normal 10 2 2 4 2 2 2 2" xfId="17618" xr:uid="{00000000-0005-0000-0000-000092450000}"/>
    <cellStyle name="Normal 10 2 2 4 2 2 3" xfId="13211" xr:uid="{00000000-0005-0000-0000-000093450000}"/>
    <cellStyle name="Normal 10 2 2 4 2 3" xfId="6592" xr:uid="{00000000-0005-0000-0000-000094450000}"/>
    <cellStyle name="Normal 10 2 2 4 2 3 2" xfId="15413" xr:uid="{00000000-0005-0000-0000-000095450000}"/>
    <cellStyle name="Normal 10 2 2 4 2 4" xfId="11006" xr:uid="{00000000-0005-0000-0000-000096450000}"/>
    <cellStyle name="Normal 10 2 2 4 3" xfId="1710" xr:uid="{00000000-0005-0000-0000-000097450000}"/>
    <cellStyle name="Normal 10 2 2 4 3 2" xfId="3665" xr:uid="{00000000-0005-0000-0000-000098450000}"/>
    <cellStyle name="Normal 10 2 2 4 3 2 2" xfId="8059" xr:uid="{00000000-0005-0000-0000-000099450000}"/>
    <cellStyle name="Normal 10 2 2 4 3 2 2 2" xfId="16880" xr:uid="{00000000-0005-0000-0000-00009A450000}"/>
    <cellStyle name="Normal 10 2 2 4 3 2 3" xfId="12473" xr:uid="{00000000-0005-0000-0000-00009B450000}"/>
    <cellStyle name="Normal 10 2 2 4 3 3" xfId="5854" xr:uid="{00000000-0005-0000-0000-00009C450000}"/>
    <cellStyle name="Normal 10 2 2 4 3 3 2" xfId="14675" xr:uid="{00000000-0005-0000-0000-00009D450000}"/>
    <cellStyle name="Normal 10 2 2 4 3 4" xfId="10268" xr:uid="{00000000-0005-0000-0000-00009E450000}"/>
    <cellStyle name="Normal 10 2 2 4 4" xfId="2928" xr:uid="{00000000-0005-0000-0000-00009F450000}"/>
    <cellStyle name="Normal 10 2 2 4 4 2" xfId="7322" xr:uid="{00000000-0005-0000-0000-0000A0450000}"/>
    <cellStyle name="Normal 10 2 2 4 4 2 2" xfId="16143" xr:uid="{00000000-0005-0000-0000-0000A1450000}"/>
    <cellStyle name="Normal 10 2 2 4 4 3" xfId="11736" xr:uid="{00000000-0005-0000-0000-0000A2450000}"/>
    <cellStyle name="Normal 10 2 2 4 5" xfId="5117" xr:uid="{00000000-0005-0000-0000-0000A3450000}"/>
    <cellStyle name="Normal 10 2 2 4 5 2" xfId="13938" xr:uid="{00000000-0005-0000-0000-0000A4450000}"/>
    <cellStyle name="Normal 10 2 2 4 6" xfId="9531" xr:uid="{00000000-0005-0000-0000-0000A5450000}"/>
    <cellStyle name="Normal 10 2 2 5" xfId="2050" xr:uid="{00000000-0005-0000-0000-0000A6450000}"/>
    <cellStyle name="Normal 10 2 2 5 2" xfId="4021" xr:uid="{00000000-0005-0000-0000-0000A7450000}"/>
    <cellStyle name="Normal 10 2 2 5 2 2" xfId="8428" xr:uid="{00000000-0005-0000-0000-0000A8450000}"/>
    <cellStyle name="Normal 10 2 2 5 2 2 2" xfId="17249" xr:uid="{00000000-0005-0000-0000-0000A9450000}"/>
    <cellStyle name="Normal 10 2 2 5 2 3" xfId="12842" xr:uid="{00000000-0005-0000-0000-0000AA450000}"/>
    <cellStyle name="Normal 10 2 2 5 3" xfId="6223" xr:uid="{00000000-0005-0000-0000-0000AB450000}"/>
    <cellStyle name="Normal 10 2 2 5 3 2" xfId="15044" xr:uid="{00000000-0005-0000-0000-0000AC450000}"/>
    <cellStyle name="Normal 10 2 2 5 4" xfId="10637" xr:uid="{00000000-0005-0000-0000-0000AD450000}"/>
    <cellStyle name="Normal 10 2 2 6" xfId="1382" xr:uid="{00000000-0005-0000-0000-0000AE450000}"/>
    <cellStyle name="Normal 10 2 2 6 2" xfId="3296" xr:uid="{00000000-0005-0000-0000-0000AF450000}"/>
    <cellStyle name="Normal 10 2 2 6 2 2" xfId="7690" xr:uid="{00000000-0005-0000-0000-0000B0450000}"/>
    <cellStyle name="Normal 10 2 2 6 2 2 2" xfId="16511" xr:uid="{00000000-0005-0000-0000-0000B1450000}"/>
    <cellStyle name="Normal 10 2 2 6 2 3" xfId="12104" xr:uid="{00000000-0005-0000-0000-0000B2450000}"/>
    <cellStyle name="Normal 10 2 2 6 3" xfId="5485" xr:uid="{00000000-0005-0000-0000-0000B3450000}"/>
    <cellStyle name="Normal 10 2 2 6 3 2" xfId="14306" xr:uid="{00000000-0005-0000-0000-0000B4450000}"/>
    <cellStyle name="Normal 10 2 2 6 4" xfId="9899" xr:uid="{00000000-0005-0000-0000-0000B5450000}"/>
    <cellStyle name="Normal 10 2 2 7" xfId="2561" xr:uid="{00000000-0005-0000-0000-0000B6450000}"/>
    <cellStyle name="Normal 10 2 2 7 2" xfId="6953" xr:uid="{00000000-0005-0000-0000-0000B7450000}"/>
    <cellStyle name="Normal 10 2 2 7 2 2" xfId="15774" xr:uid="{00000000-0005-0000-0000-0000B8450000}"/>
    <cellStyle name="Normal 10 2 2 7 3" xfId="11367" xr:uid="{00000000-0005-0000-0000-0000B9450000}"/>
    <cellStyle name="Normal 10 2 2 8" xfId="4748" xr:uid="{00000000-0005-0000-0000-0000BA450000}"/>
    <cellStyle name="Normal 10 2 2 8 2" xfId="13569" xr:uid="{00000000-0005-0000-0000-0000BB450000}"/>
    <cellStyle name="Normal 10 2 2 9" xfId="9162" xr:uid="{00000000-0005-0000-0000-0000BC450000}"/>
    <cellStyle name="Normal 10 2 3" xfId="722" xr:uid="{00000000-0005-0000-0000-0000BD450000}"/>
    <cellStyle name="Normal 10 2 3 10" xfId="29248" xr:uid="{00000000-0005-0000-0000-0000BE450000}"/>
    <cellStyle name="Normal 10 2 3 2" xfId="1179" xr:uid="{00000000-0005-0000-0000-0000BF450000}"/>
    <cellStyle name="Normal 10 2 3 2 2" xfId="1164" xr:uid="{00000000-0005-0000-0000-0000C0450000}"/>
    <cellStyle name="Normal 10 2 3 2 2 2" xfId="2467" xr:uid="{00000000-0005-0000-0000-0000C1450000}"/>
    <cellStyle name="Normal 10 2 3 2 2 2 2" xfId="4625" xr:uid="{00000000-0005-0000-0000-0000C2450000}"/>
    <cellStyle name="Normal 10 2 3 2 2 2 2 2" xfId="9048" xr:uid="{00000000-0005-0000-0000-0000C3450000}"/>
    <cellStyle name="Normal 10 2 3 2 2 2 2 2 2" xfId="17869" xr:uid="{00000000-0005-0000-0000-0000C4450000}"/>
    <cellStyle name="Normal 10 2 3 2 2 2 2 3" xfId="13462" xr:uid="{00000000-0005-0000-0000-0000C5450000}"/>
    <cellStyle name="Normal 10 2 3 2 2 2 3" xfId="6843" xr:uid="{00000000-0005-0000-0000-0000C6450000}"/>
    <cellStyle name="Normal 10 2 3 2 2 2 3 2" xfId="15664" xr:uid="{00000000-0005-0000-0000-0000C7450000}"/>
    <cellStyle name="Normal 10 2 3 2 2 2 4" xfId="11257" xr:uid="{00000000-0005-0000-0000-0000C8450000}"/>
    <cellStyle name="Normal 10 2 3 2 2 3" xfId="1959" xr:uid="{00000000-0005-0000-0000-0000C9450000}"/>
    <cellStyle name="Normal 10 2 3 2 2 3 2" xfId="3916" xr:uid="{00000000-0005-0000-0000-0000CA450000}"/>
    <cellStyle name="Normal 10 2 3 2 2 3 2 2" xfId="8310" xr:uid="{00000000-0005-0000-0000-0000CB450000}"/>
    <cellStyle name="Normal 10 2 3 2 2 3 2 2 2" xfId="17131" xr:uid="{00000000-0005-0000-0000-0000CC450000}"/>
    <cellStyle name="Normal 10 2 3 2 2 3 2 3" xfId="12724" xr:uid="{00000000-0005-0000-0000-0000CD450000}"/>
    <cellStyle name="Normal 10 2 3 2 2 3 3" xfId="6105" xr:uid="{00000000-0005-0000-0000-0000CE450000}"/>
    <cellStyle name="Normal 10 2 3 2 2 3 3 2" xfId="14926" xr:uid="{00000000-0005-0000-0000-0000CF450000}"/>
    <cellStyle name="Normal 10 2 3 2 2 3 4" xfId="10519" xr:uid="{00000000-0005-0000-0000-0000D0450000}"/>
    <cellStyle name="Normal 10 2 3 2 2 4" xfId="3179" xr:uid="{00000000-0005-0000-0000-0000D1450000}"/>
    <cellStyle name="Normal 10 2 3 2 2 4 2" xfId="7573" xr:uid="{00000000-0005-0000-0000-0000D2450000}"/>
    <cellStyle name="Normal 10 2 3 2 2 4 2 2" xfId="16394" xr:uid="{00000000-0005-0000-0000-0000D3450000}"/>
    <cellStyle name="Normal 10 2 3 2 2 4 3" xfId="11987" xr:uid="{00000000-0005-0000-0000-0000D4450000}"/>
    <cellStyle name="Normal 10 2 3 2 2 5" xfId="5368" xr:uid="{00000000-0005-0000-0000-0000D5450000}"/>
    <cellStyle name="Normal 10 2 3 2 2 5 2" xfId="14189" xr:uid="{00000000-0005-0000-0000-0000D6450000}"/>
    <cellStyle name="Normal 10 2 3 2 2 6" xfId="9782" xr:uid="{00000000-0005-0000-0000-0000D7450000}"/>
    <cellStyle name="Normal 10 2 3 2 3" xfId="2206" xr:uid="{00000000-0005-0000-0000-0000D8450000}"/>
    <cellStyle name="Normal 10 2 3 2 3 2" xfId="4270" xr:uid="{00000000-0005-0000-0000-0000D9450000}"/>
    <cellStyle name="Normal 10 2 3 2 3 2 2" xfId="8679" xr:uid="{00000000-0005-0000-0000-0000DA450000}"/>
    <cellStyle name="Normal 10 2 3 2 3 2 2 2" xfId="17500" xr:uid="{00000000-0005-0000-0000-0000DB450000}"/>
    <cellStyle name="Normal 10 2 3 2 3 2 3" xfId="13093" xr:uid="{00000000-0005-0000-0000-0000DC450000}"/>
    <cellStyle name="Normal 10 2 3 2 3 3" xfId="6474" xr:uid="{00000000-0005-0000-0000-0000DD450000}"/>
    <cellStyle name="Normal 10 2 3 2 3 3 2" xfId="15295" xr:uid="{00000000-0005-0000-0000-0000DE450000}"/>
    <cellStyle name="Normal 10 2 3 2 3 4" xfId="10888" xr:uid="{00000000-0005-0000-0000-0000DF450000}"/>
    <cellStyle name="Normal 10 2 3 2 4" xfId="1604" xr:uid="{00000000-0005-0000-0000-0000E0450000}"/>
    <cellStyle name="Normal 10 2 3 2 4 2" xfId="3547" xr:uid="{00000000-0005-0000-0000-0000E1450000}"/>
    <cellStyle name="Normal 10 2 3 2 4 2 2" xfId="7941" xr:uid="{00000000-0005-0000-0000-0000E2450000}"/>
    <cellStyle name="Normal 10 2 3 2 4 2 2 2" xfId="16762" xr:uid="{00000000-0005-0000-0000-0000E3450000}"/>
    <cellStyle name="Normal 10 2 3 2 4 2 3" xfId="12355" xr:uid="{00000000-0005-0000-0000-0000E4450000}"/>
    <cellStyle name="Normal 10 2 3 2 4 3" xfId="5736" xr:uid="{00000000-0005-0000-0000-0000E5450000}"/>
    <cellStyle name="Normal 10 2 3 2 4 3 2" xfId="14557" xr:uid="{00000000-0005-0000-0000-0000E6450000}"/>
    <cellStyle name="Normal 10 2 3 2 4 4" xfId="10150" xr:uid="{00000000-0005-0000-0000-0000E7450000}"/>
    <cellStyle name="Normal 10 2 3 2 5" xfId="2810" xr:uid="{00000000-0005-0000-0000-0000E8450000}"/>
    <cellStyle name="Normal 10 2 3 2 5 2" xfId="7204" xr:uid="{00000000-0005-0000-0000-0000E9450000}"/>
    <cellStyle name="Normal 10 2 3 2 5 2 2" xfId="16025" xr:uid="{00000000-0005-0000-0000-0000EA450000}"/>
    <cellStyle name="Normal 10 2 3 2 5 3" xfId="11618" xr:uid="{00000000-0005-0000-0000-0000EB450000}"/>
    <cellStyle name="Normal 10 2 3 2 6" xfId="4999" xr:uid="{00000000-0005-0000-0000-0000EC450000}"/>
    <cellStyle name="Normal 10 2 3 2 6 2" xfId="13820" xr:uid="{00000000-0005-0000-0000-0000ED450000}"/>
    <cellStyle name="Normal 10 2 3 2 7" xfId="9413" xr:uid="{00000000-0005-0000-0000-0000EE450000}"/>
    <cellStyle name="Normal 10 2 3 3" xfId="1199" xr:uid="{00000000-0005-0000-0000-0000EF450000}"/>
    <cellStyle name="Normal 10 2 3 3 2" xfId="2336" xr:uid="{00000000-0005-0000-0000-0000F0450000}"/>
    <cellStyle name="Normal 10 2 3 3 2 2" xfId="4441" xr:uid="{00000000-0005-0000-0000-0000F1450000}"/>
    <cellStyle name="Normal 10 2 3 3 2 2 2" xfId="8863" xr:uid="{00000000-0005-0000-0000-0000F2450000}"/>
    <cellStyle name="Normal 10 2 3 3 2 2 2 2" xfId="17684" xr:uid="{00000000-0005-0000-0000-0000F3450000}"/>
    <cellStyle name="Normal 10 2 3 3 2 2 3" xfId="13277" xr:uid="{00000000-0005-0000-0000-0000F4450000}"/>
    <cellStyle name="Normal 10 2 3 3 2 3" xfId="6658" xr:uid="{00000000-0005-0000-0000-0000F5450000}"/>
    <cellStyle name="Normal 10 2 3 3 2 3 2" xfId="15479" xr:uid="{00000000-0005-0000-0000-0000F6450000}"/>
    <cellStyle name="Normal 10 2 3 3 2 4" xfId="11072" xr:uid="{00000000-0005-0000-0000-0000F7450000}"/>
    <cellStyle name="Normal 10 2 3 3 3" xfId="1775" xr:uid="{00000000-0005-0000-0000-0000F8450000}"/>
    <cellStyle name="Normal 10 2 3 3 3 2" xfId="3731" xr:uid="{00000000-0005-0000-0000-0000F9450000}"/>
    <cellStyle name="Normal 10 2 3 3 3 2 2" xfId="8125" xr:uid="{00000000-0005-0000-0000-0000FA450000}"/>
    <cellStyle name="Normal 10 2 3 3 3 2 2 2" xfId="16946" xr:uid="{00000000-0005-0000-0000-0000FB450000}"/>
    <cellStyle name="Normal 10 2 3 3 3 2 3" xfId="12539" xr:uid="{00000000-0005-0000-0000-0000FC450000}"/>
    <cellStyle name="Normal 10 2 3 3 3 3" xfId="5920" xr:uid="{00000000-0005-0000-0000-0000FD450000}"/>
    <cellStyle name="Normal 10 2 3 3 3 3 2" xfId="14741" xr:uid="{00000000-0005-0000-0000-0000FE450000}"/>
    <cellStyle name="Normal 10 2 3 3 3 4" xfId="10334" xr:uid="{00000000-0005-0000-0000-0000FF450000}"/>
    <cellStyle name="Normal 10 2 3 3 4" xfId="2994" xr:uid="{00000000-0005-0000-0000-000000460000}"/>
    <cellStyle name="Normal 10 2 3 3 4 2" xfId="7388" xr:uid="{00000000-0005-0000-0000-000001460000}"/>
    <cellStyle name="Normal 10 2 3 3 4 2 2" xfId="16209" xr:uid="{00000000-0005-0000-0000-000002460000}"/>
    <cellStyle name="Normal 10 2 3 3 4 3" xfId="11802" xr:uid="{00000000-0005-0000-0000-000003460000}"/>
    <cellStyle name="Normal 10 2 3 3 5" xfId="5183" xr:uid="{00000000-0005-0000-0000-000004460000}"/>
    <cellStyle name="Normal 10 2 3 3 5 2" xfId="14004" xr:uid="{00000000-0005-0000-0000-000005460000}"/>
    <cellStyle name="Normal 10 2 3 3 6" xfId="9597" xr:uid="{00000000-0005-0000-0000-000006460000}"/>
    <cellStyle name="Normal 10 2 3 4" xfId="2075" xr:uid="{00000000-0005-0000-0000-000007460000}"/>
    <cellStyle name="Normal 10 2 3 4 2" xfId="4086" xr:uid="{00000000-0005-0000-0000-000008460000}"/>
    <cellStyle name="Normal 10 2 3 4 2 2" xfId="8494" xr:uid="{00000000-0005-0000-0000-000009460000}"/>
    <cellStyle name="Normal 10 2 3 4 2 2 2" xfId="17315" xr:uid="{00000000-0005-0000-0000-00000A460000}"/>
    <cellStyle name="Normal 10 2 3 4 2 3" xfId="12908" xr:uid="{00000000-0005-0000-0000-00000B460000}"/>
    <cellStyle name="Normal 10 2 3 4 3" xfId="6289" xr:uid="{00000000-0005-0000-0000-00000C460000}"/>
    <cellStyle name="Normal 10 2 3 4 3 2" xfId="15110" xr:uid="{00000000-0005-0000-0000-00000D460000}"/>
    <cellStyle name="Normal 10 2 3 4 4" xfId="10703" xr:uid="{00000000-0005-0000-0000-00000E460000}"/>
    <cellStyle name="Normal 10 2 3 5" xfId="1433" xr:uid="{00000000-0005-0000-0000-00000F460000}"/>
    <cellStyle name="Normal 10 2 3 5 2" xfId="3362" xr:uid="{00000000-0005-0000-0000-000010460000}"/>
    <cellStyle name="Normal 10 2 3 5 2 2" xfId="7756" xr:uid="{00000000-0005-0000-0000-000011460000}"/>
    <cellStyle name="Normal 10 2 3 5 2 2 2" xfId="16577" xr:uid="{00000000-0005-0000-0000-000012460000}"/>
    <cellStyle name="Normal 10 2 3 5 2 3" xfId="12170" xr:uid="{00000000-0005-0000-0000-000013460000}"/>
    <cellStyle name="Normal 10 2 3 5 3" xfId="5551" xr:uid="{00000000-0005-0000-0000-000014460000}"/>
    <cellStyle name="Normal 10 2 3 5 3 2" xfId="14372" xr:uid="{00000000-0005-0000-0000-000015460000}"/>
    <cellStyle name="Normal 10 2 3 5 4" xfId="9965" xr:uid="{00000000-0005-0000-0000-000016460000}"/>
    <cellStyle name="Normal 10 2 3 6" xfId="2626" xr:uid="{00000000-0005-0000-0000-000017460000}"/>
    <cellStyle name="Normal 10 2 3 6 2" xfId="7019" xr:uid="{00000000-0005-0000-0000-000018460000}"/>
    <cellStyle name="Normal 10 2 3 6 2 2" xfId="15840" xr:uid="{00000000-0005-0000-0000-000019460000}"/>
    <cellStyle name="Normal 10 2 3 6 3" xfId="11433" xr:uid="{00000000-0005-0000-0000-00001A460000}"/>
    <cellStyle name="Normal 10 2 3 7" xfId="4814" xr:uid="{00000000-0005-0000-0000-00001B460000}"/>
    <cellStyle name="Normal 10 2 3 7 2" xfId="13635" xr:uid="{00000000-0005-0000-0000-00001C460000}"/>
    <cellStyle name="Normal 10 2 3 8" xfId="9228" xr:uid="{00000000-0005-0000-0000-00001D460000}"/>
    <cellStyle name="Normal 10 2 3 9" xfId="28327" xr:uid="{00000000-0005-0000-0000-00001E460000}"/>
    <cellStyle name="Normal 10 2 4" xfId="1063" xr:uid="{00000000-0005-0000-0000-00001F460000}"/>
    <cellStyle name="Normal 10 2 4 2" xfId="1314" xr:uid="{00000000-0005-0000-0000-000020460000}"/>
    <cellStyle name="Normal 10 2 4 2 2" xfId="2401" xr:uid="{00000000-0005-0000-0000-000021460000}"/>
    <cellStyle name="Normal 10 2 4 2 2 2" xfId="4533" xr:uid="{00000000-0005-0000-0000-000022460000}"/>
    <cellStyle name="Normal 10 2 4 2 2 2 2" xfId="8955" xr:uid="{00000000-0005-0000-0000-000023460000}"/>
    <cellStyle name="Normal 10 2 4 2 2 2 2 2" xfId="17776" xr:uid="{00000000-0005-0000-0000-000024460000}"/>
    <cellStyle name="Normal 10 2 4 2 2 2 3" xfId="13369" xr:uid="{00000000-0005-0000-0000-000025460000}"/>
    <cellStyle name="Normal 10 2 4 2 2 3" xfId="6750" xr:uid="{00000000-0005-0000-0000-000026460000}"/>
    <cellStyle name="Normal 10 2 4 2 2 3 2" xfId="15571" xr:uid="{00000000-0005-0000-0000-000027460000}"/>
    <cellStyle name="Normal 10 2 4 2 2 4" xfId="11164" xr:uid="{00000000-0005-0000-0000-000028460000}"/>
    <cellStyle name="Normal 10 2 4 2 3" xfId="1867" xr:uid="{00000000-0005-0000-0000-000029460000}"/>
    <cellStyle name="Normal 10 2 4 2 3 2" xfId="3823" xr:uid="{00000000-0005-0000-0000-00002A460000}"/>
    <cellStyle name="Normal 10 2 4 2 3 2 2" xfId="8217" xr:uid="{00000000-0005-0000-0000-00002B460000}"/>
    <cellStyle name="Normal 10 2 4 2 3 2 2 2" xfId="17038" xr:uid="{00000000-0005-0000-0000-00002C460000}"/>
    <cellStyle name="Normal 10 2 4 2 3 2 3" xfId="12631" xr:uid="{00000000-0005-0000-0000-00002D460000}"/>
    <cellStyle name="Normal 10 2 4 2 3 3" xfId="6012" xr:uid="{00000000-0005-0000-0000-00002E460000}"/>
    <cellStyle name="Normal 10 2 4 2 3 3 2" xfId="14833" xr:uid="{00000000-0005-0000-0000-00002F460000}"/>
    <cellStyle name="Normal 10 2 4 2 3 4" xfId="10426" xr:uid="{00000000-0005-0000-0000-000030460000}"/>
    <cellStyle name="Normal 10 2 4 2 4" xfId="3086" xr:uid="{00000000-0005-0000-0000-000031460000}"/>
    <cellStyle name="Normal 10 2 4 2 4 2" xfId="7480" xr:uid="{00000000-0005-0000-0000-000032460000}"/>
    <cellStyle name="Normal 10 2 4 2 4 2 2" xfId="16301" xr:uid="{00000000-0005-0000-0000-000033460000}"/>
    <cellStyle name="Normal 10 2 4 2 4 3" xfId="11894" xr:uid="{00000000-0005-0000-0000-000034460000}"/>
    <cellStyle name="Normal 10 2 4 2 5" xfId="5275" xr:uid="{00000000-0005-0000-0000-000035460000}"/>
    <cellStyle name="Normal 10 2 4 2 5 2" xfId="14096" xr:uid="{00000000-0005-0000-0000-000036460000}"/>
    <cellStyle name="Normal 10 2 4 2 6" xfId="9689" xr:uid="{00000000-0005-0000-0000-000037460000}"/>
    <cellStyle name="Normal 10 2 4 3" xfId="2140" xr:uid="{00000000-0005-0000-0000-000038460000}"/>
    <cellStyle name="Normal 10 2 4 3 2" xfId="4178" xr:uid="{00000000-0005-0000-0000-000039460000}"/>
    <cellStyle name="Normal 10 2 4 3 2 2" xfId="8586" xr:uid="{00000000-0005-0000-0000-00003A460000}"/>
    <cellStyle name="Normal 10 2 4 3 2 2 2" xfId="17407" xr:uid="{00000000-0005-0000-0000-00003B460000}"/>
    <cellStyle name="Normal 10 2 4 3 2 3" xfId="13000" xr:uid="{00000000-0005-0000-0000-00003C460000}"/>
    <cellStyle name="Normal 10 2 4 3 3" xfId="6381" xr:uid="{00000000-0005-0000-0000-00003D460000}"/>
    <cellStyle name="Normal 10 2 4 3 3 2" xfId="15202" xr:uid="{00000000-0005-0000-0000-00003E460000}"/>
    <cellStyle name="Normal 10 2 4 3 4" xfId="10795" xr:uid="{00000000-0005-0000-0000-00003F460000}"/>
    <cellStyle name="Normal 10 2 4 4" xfId="1512" xr:uid="{00000000-0005-0000-0000-000040460000}"/>
    <cellStyle name="Normal 10 2 4 4 2" xfId="3454" xr:uid="{00000000-0005-0000-0000-000041460000}"/>
    <cellStyle name="Normal 10 2 4 4 2 2" xfId="7848" xr:uid="{00000000-0005-0000-0000-000042460000}"/>
    <cellStyle name="Normal 10 2 4 4 2 2 2" xfId="16669" xr:uid="{00000000-0005-0000-0000-000043460000}"/>
    <cellStyle name="Normal 10 2 4 4 2 3" xfId="12262" xr:uid="{00000000-0005-0000-0000-000044460000}"/>
    <cellStyle name="Normal 10 2 4 4 3" xfId="5643" xr:uid="{00000000-0005-0000-0000-000045460000}"/>
    <cellStyle name="Normal 10 2 4 4 3 2" xfId="14464" xr:uid="{00000000-0005-0000-0000-000046460000}"/>
    <cellStyle name="Normal 10 2 4 4 4" xfId="10057" xr:uid="{00000000-0005-0000-0000-000047460000}"/>
    <cellStyle name="Normal 10 2 4 5" xfId="2718" xr:uid="{00000000-0005-0000-0000-000048460000}"/>
    <cellStyle name="Normal 10 2 4 5 2" xfId="7111" xr:uid="{00000000-0005-0000-0000-000049460000}"/>
    <cellStyle name="Normal 10 2 4 5 2 2" xfId="15932" xr:uid="{00000000-0005-0000-0000-00004A460000}"/>
    <cellStyle name="Normal 10 2 4 5 3" xfId="11525" xr:uid="{00000000-0005-0000-0000-00004B460000}"/>
    <cellStyle name="Normal 10 2 4 6" xfId="4906" xr:uid="{00000000-0005-0000-0000-00004C460000}"/>
    <cellStyle name="Normal 10 2 4 6 2" xfId="13727" xr:uid="{00000000-0005-0000-0000-00004D460000}"/>
    <cellStyle name="Normal 10 2 4 7" xfId="9320" xr:uid="{00000000-0005-0000-0000-00004E460000}"/>
    <cellStyle name="Normal 10 2 5" xfId="1118" xr:uid="{00000000-0005-0000-0000-00004F460000}"/>
    <cellStyle name="Normal 10 2 5 2" xfId="2270" xr:uid="{00000000-0005-0000-0000-000050460000}"/>
    <cellStyle name="Normal 10 2 5 2 2" xfId="4349" xr:uid="{00000000-0005-0000-0000-000051460000}"/>
    <cellStyle name="Normal 10 2 5 2 2 2" xfId="8770" xr:uid="{00000000-0005-0000-0000-000052460000}"/>
    <cellStyle name="Normal 10 2 5 2 2 2 2" xfId="17591" xr:uid="{00000000-0005-0000-0000-000053460000}"/>
    <cellStyle name="Normal 10 2 5 2 2 3" xfId="13184" xr:uid="{00000000-0005-0000-0000-000054460000}"/>
    <cellStyle name="Normal 10 2 5 2 3" xfId="6565" xr:uid="{00000000-0005-0000-0000-000055460000}"/>
    <cellStyle name="Normal 10 2 5 2 3 2" xfId="15386" xr:uid="{00000000-0005-0000-0000-000056460000}"/>
    <cellStyle name="Normal 10 2 5 2 4" xfId="10979" xr:uid="{00000000-0005-0000-0000-000057460000}"/>
    <cellStyle name="Normal 10 2 5 3" xfId="1683" xr:uid="{00000000-0005-0000-0000-000058460000}"/>
    <cellStyle name="Normal 10 2 5 3 2" xfId="3638" xr:uid="{00000000-0005-0000-0000-000059460000}"/>
    <cellStyle name="Normal 10 2 5 3 2 2" xfId="8032" xr:uid="{00000000-0005-0000-0000-00005A460000}"/>
    <cellStyle name="Normal 10 2 5 3 2 2 2" xfId="16853" xr:uid="{00000000-0005-0000-0000-00005B460000}"/>
    <cellStyle name="Normal 10 2 5 3 2 3" xfId="12446" xr:uid="{00000000-0005-0000-0000-00005C460000}"/>
    <cellStyle name="Normal 10 2 5 3 3" xfId="5827" xr:uid="{00000000-0005-0000-0000-00005D460000}"/>
    <cellStyle name="Normal 10 2 5 3 3 2" xfId="14648" xr:uid="{00000000-0005-0000-0000-00005E460000}"/>
    <cellStyle name="Normal 10 2 5 3 4" xfId="10241" xr:uid="{00000000-0005-0000-0000-00005F460000}"/>
    <cellStyle name="Normal 10 2 5 4" xfId="2901" xr:uid="{00000000-0005-0000-0000-000060460000}"/>
    <cellStyle name="Normal 10 2 5 4 2" xfId="7295" xr:uid="{00000000-0005-0000-0000-000061460000}"/>
    <cellStyle name="Normal 10 2 5 4 2 2" xfId="16116" xr:uid="{00000000-0005-0000-0000-000062460000}"/>
    <cellStyle name="Normal 10 2 5 4 3" xfId="11709" xr:uid="{00000000-0005-0000-0000-000063460000}"/>
    <cellStyle name="Normal 10 2 5 5" xfId="5090" xr:uid="{00000000-0005-0000-0000-000064460000}"/>
    <cellStyle name="Normal 10 2 5 5 2" xfId="13911" xr:uid="{00000000-0005-0000-0000-000065460000}"/>
    <cellStyle name="Normal 10 2 5 6" xfId="9504" xr:uid="{00000000-0005-0000-0000-000066460000}"/>
    <cellStyle name="Normal 10 2 6" xfId="2035" xr:uid="{00000000-0005-0000-0000-000067460000}"/>
    <cellStyle name="Normal 10 2 6 2" xfId="3994" xr:uid="{00000000-0005-0000-0000-000068460000}"/>
    <cellStyle name="Normal 10 2 6 2 2" xfId="8401" xr:uid="{00000000-0005-0000-0000-000069460000}"/>
    <cellStyle name="Normal 10 2 6 2 2 2" xfId="17222" xr:uid="{00000000-0005-0000-0000-00006A460000}"/>
    <cellStyle name="Normal 10 2 6 2 3" xfId="12815" xr:uid="{00000000-0005-0000-0000-00006B460000}"/>
    <cellStyle name="Normal 10 2 6 3" xfId="6196" xr:uid="{00000000-0005-0000-0000-00006C460000}"/>
    <cellStyle name="Normal 10 2 6 3 2" xfId="15017" xr:uid="{00000000-0005-0000-0000-00006D460000}"/>
    <cellStyle name="Normal 10 2 6 4" xfId="10610" xr:uid="{00000000-0005-0000-0000-00006E460000}"/>
    <cellStyle name="Normal 10 2 7" xfId="1367" xr:uid="{00000000-0005-0000-0000-00006F460000}"/>
    <cellStyle name="Normal 10 2 7 2" xfId="3269" xr:uid="{00000000-0005-0000-0000-000070460000}"/>
    <cellStyle name="Normal 10 2 7 2 2" xfId="7663" xr:uid="{00000000-0005-0000-0000-000071460000}"/>
    <cellStyle name="Normal 10 2 7 2 2 2" xfId="16484" xr:uid="{00000000-0005-0000-0000-000072460000}"/>
    <cellStyle name="Normal 10 2 7 2 3" xfId="12077" xr:uid="{00000000-0005-0000-0000-000073460000}"/>
    <cellStyle name="Normal 10 2 7 3" xfId="5458" xr:uid="{00000000-0005-0000-0000-000074460000}"/>
    <cellStyle name="Normal 10 2 7 3 2" xfId="14279" xr:uid="{00000000-0005-0000-0000-000075460000}"/>
    <cellStyle name="Normal 10 2 7 4" xfId="9872" xr:uid="{00000000-0005-0000-0000-000076460000}"/>
    <cellStyle name="Normal 10 2 8" xfId="2543" xr:uid="{00000000-0005-0000-0000-000077460000}"/>
    <cellStyle name="Normal 10 2 8 2" xfId="6934" xr:uid="{00000000-0005-0000-0000-000078460000}"/>
    <cellStyle name="Normal 10 2 8 2 2" xfId="15755" xr:uid="{00000000-0005-0000-0000-000079460000}"/>
    <cellStyle name="Normal 10 2 8 3" xfId="11348" xr:uid="{00000000-0005-0000-0000-00007A460000}"/>
    <cellStyle name="Normal 10 2 9" xfId="4734" xr:uid="{00000000-0005-0000-0000-00007B460000}"/>
    <cellStyle name="Normal 10 2 9 2" xfId="13555" xr:uid="{00000000-0005-0000-0000-00007C460000}"/>
    <cellStyle name="Normal 10 3" xfId="362" xr:uid="{00000000-0005-0000-0000-00007D460000}"/>
    <cellStyle name="Normal 10 3 10" xfId="9154" xr:uid="{00000000-0005-0000-0000-00007E460000}"/>
    <cellStyle name="Normal 10 3 11" xfId="18074" xr:uid="{00000000-0005-0000-0000-00007F460000}"/>
    <cellStyle name="Normal 10 3 12" xfId="28328" xr:uid="{00000000-0005-0000-0000-000080460000}"/>
    <cellStyle name="Normal 10 3 13" xfId="29249" xr:uid="{00000000-0005-0000-0000-000081460000}"/>
    <cellStyle name="Normal 10 3 2" xfId="855" xr:uid="{00000000-0005-0000-0000-000082460000}"/>
    <cellStyle name="Normal 10 3 2 10" xfId="28329" xr:uid="{00000000-0005-0000-0000-000083460000}"/>
    <cellStyle name="Normal 10 3 2 11" xfId="29250" xr:uid="{00000000-0005-0000-0000-000084460000}"/>
    <cellStyle name="Normal 10 3 2 2" xfId="1104" xr:uid="{00000000-0005-0000-0000-000085460000}"/>
    <cellStyle name="Normal 10 3 2 2 2" xfId="1150" xr:uid="{00000000-0005-0000-0000-000086460000}"/>
    <cellStyle name="Normal 10 3 2 2 2 2" xfId="1345" xr:uid="{00000000-0005-0000-0000-000087460000}"/>
    <cellStyle name="Normal 10 3 2 2 2 2 2" xfId="2519" xr:uid="{00000000-0005-0000-0000-000088460000}"/>
    <cellStyle name="Normal 10 3 2 2 2 2 2 2" xfId="4690" xr:uid="{00000000-0005-0000-0000-000089460000}"/>
    <cellStyle name="Normal 10 3 2 2 2 2 2 2 2" xfId="9113" xr:uid="{00000000-0005-0000-0000-00008A460000}"/>
    <cellStyle name="Normal 10 3 2 2 2 2 2 2 2 2" xfId="17934" xr:uid="{00000000-0005-0000-0000-00008B460000}"/>
    <cellStyle name="Normal 10 3 2 2 2 2 2 2 3" xfId="13527" xr:uid="{00000000-0005-0000-0000-00008C460000}"/>
    <cellStyle name="Normal 10 3 2 2 2 2 2 3" xfId="6908" xr:uid="{00000000-0005-0000-0000-00008D460000}"/>
    <cellStyle name="Normal 10 3 2 2 2 2 2 3 2" xfId="15729" xr:uid="{00000000-0005-0000-0000-00008E460000}"/>
    <cellStyle name="Normal 10 3 2 2 2 2 2 4" xfId="11322" xr:uid="{00000000-0005-0000-0000-00008F460000}"/>
    <cellStyle name="Normal 10 3 2 2 2 2 3" xfId="2024" xr:uid="{00000000-0005-0000-0000-000090460000}"/>
    <cellStyle name="Normal 10 3 2 2 2 2 3 2" xfId="3981" xr:uid="{00000000-0005-0000-0000-000091460000}"/>
    <cellStyle name="Normal 10 3 2 2 2 2 3 2 2" xfId="8375" xr:uid="{00000000-0005-0000-0000-000092460000}"/>
    <cellStyle name="Normal 10 3 2 2 2 2 3 2 2 2" xfId="17196" xr:uid="{00000000-0005-0000-0000-000093460000}"/>
    <cellStyle name="Normal 10 3 2 2 2 2 3 2 3" xfId="12789" xr:uid="{00000000-0005-0000-0000-000094460000}"/>
    <cellStyle name="Normal 10 3 2 2 2 2 3 3" xfId="6170" xr:uid="{00000000-0005-0000-0000-000095460000}"/>
    <cellStyle name="Normal 10 3 2 2 2 2 3 3 2" xfId="14991" xr:uid="{00000000-0005-0000-0000-000096460000}"/>
    <cellStyle name="Normal 10 3 2 2 2 2 3 4" xfId="10584" xr:uid="{00000000-0005-0000-0000-000097460000}"/>
    <cellStyle name="Normal 10 3 2 2 2 2 4" xfId="3244" xr:uid="{00000000-0005-0000-0000-000098460000}"/>
    <cellStyle name="Normal 10 3 2 2 2 2 4 2" xfId="7638" xr:uid="{00000000-0005-0000-0000-000099460000}"/>
    <cellStyle name="Normal 10 3 2 2 2 2 4 2 2" xfId="16459" xr:uid="{00000000-0005-0000-0000-00009A460000}"/>
    <cellStyle name="Normal 10 3 2 2 2 2 4 3" xfId="12052" xr:uid="{00000000-0005-0000-0000-00009B460000}"/>
    <cellStyle name="Normal 10 3 2 2 2 2 5" xfId="5433" xr:uid="{00000000-0005-0000-0000-00009C460000}"/>
    <cellStyle name="Normal 10 3 2 2 2 2 5 2" xfId="14254" xr:uid="{00000000-0005-0000-0000-00009D460000}"/>
    <cellStyle name="Normal 10 3 2 2 2 2 6" xfId="9847" xr:uid="{00000000-0005-0000-0000-00009E460000}"/>
    <cellStyle name="Normal 10 3 2 2 2 3" xfId="2258" xr:uid="{00000000-0005-0000-0000-00009F460000}"/>
    <cellStyle name="Normal 10 3 2 2 2 3 2" xfId="4335" xr:uid="{00000000-0005-0000-0000-0000A0460000}"/>
    <cellStyle name="Normal 10 3 2 2 2 3 2 2" xfId="8744" xr:uid="{00000000-0005-0000-0000-0000A1460000}"/>
    <cellStyle name="Normal 10 3 2 2 2 3 2 2 2" xfId="17565" xr:uid="{00000000-0005-0000-0000-0000A2460000}"/>
    <cellStyle name="Normal 10 3 2 2 2 3 2 3" xfId="13158" xr:uid="{00000000-0005-0000-0000-0000A3460000}"/>
    <cellStyle name="Normal 10 3 2 2 2 3 3" xfId="6539" xr:uid="{00000000-0005-0000-0000-0000A4460000}"/>
    <cellStyle name="Normal 10 3 2 2 2 3 3 2" xfId="15360" xr:uid="{00000000-0005-0000-0000-0000A5460000}"/>
    <cellStyle name="Normal 10 3 2 2 2 3 4" xfId="10953" xr:uid="{00000000-0005-0000-0000-0000A6460000}"/>
    <cellStyle name="Normal 10 3 2 2 2 4" xfId="1669" xr:uid="{00000000-0005-0000-0000-0000A7460000}"/>
    <cellStyle name="Normal 10 3 2 2 2 4 2" xfId="3612" xr:uid="{00000000-0005-0000-0000-0000A8460000}"/>
    <cellStyle name="Normal 10 3 2 2 2 4 2 2" xfId="8006" xr:uid="{00000000-0005-0000-0000-0000A9460000}"/>
    <cellStyle name="Normal 10 3 2 2 2 4 2 2 2" xfId="16827" xr:uid="{00000000-0005-0000-0000-0000AA460000}"/>
    <cellStyle name="Normal 10 3 2 2 2 4 2 3" xfId="12420" xr:uid="{00000000-0005-0000-0000-0000AB460000}"/>
    <cellStyle name="Normal 10 3 2 2 2 4 3" xfId="5801" xr:uid="{00000000-0005-0000-0000-0000AC460000}"/>
    <cellStyle name="Normal 10 3 2 2 2 4 3 2" xfId="14622" xr:uid="{00000000-0005-0000-0000-0000AD460000}"/>
    <cellStyle name="Normal 10 3 2 2 2 4 4" xfId="10215" xr:uid="{00000000-0005-0000-0000-0000AE460000}"/>
    <cellStyle name="Normal 10 3 2 2 2 5" xfId="2875" xr:uid="{00000000-0005-0000-0000-0000AF460000}"/>
    <cellStyle name="Normal 10 3 2 2 2 5 2" xfId="7269" xr:uid="{00000000-0005-0000-0000-0000B0460000}"/>
    <cellStyle name="Normal 10 3 2 2 2 5 2 2" xfId="16090" xr:uid="{00000000-0005-0000-0000-0000B1460000}"/>
    <cellStyle name="Normal 10 3 2 2 2 5 3" xfId="11683" xr:uid="{00000000-0005-0000-0000-0000B2460000}"/>
    <cellStyle name="Normal 10 3 2 2 2 6" xfId="5064" xr:uid="{00000000-0005-0000-0000-0000B3460000}"/>
    <cellStyle name="Normal 10 3 2 2 2 6 2" xfId="13885" xr:uid="{00000000-0005-0000-0000-0000B4460000}"/>
    <cellStyle name="Normal 10 3 2 2 2 7" xfId="9478" xr:uid="{00000000-0005-0000-0000-0000B5460000}"/>
    <cellStyle name="Normal 10 3 2 2 3" xfId="1165" xr:uid="{00000000-0005-0000-0000-0000B6460000}"/>
    <cellStyle name="Normal 10 3 2 2 3 2" xfId="2388" xr:uid="{00000000-0005-0000-0000-0000B7460000}"/>
    <cellStyle name="Normal 10 3 2 2 3 2 2" xfId="4506" xr:uid="{00000000-0005-0000-0000-0000B8460000}"/>
    <cellStyle name="Normal 10 3 2 2 3 2 2 2" xfId="8928" xr:uid="{00000000-0005-0000-0000-0000B9460000}"/>
    <cellStyle name="Normal 10 3 2 2 3 2 2 2 2" xfId="17749" xr:uid="{00000000-0005-0000-0000-0000BA460000}"/>
    <cellStyle name="Normal 10 3 2 2 3 2 2 3" xfId="13342" xr:uid="{00000000-0005-0000-0000-0000BB460000}"/>
    <cellStyle name="Normal 10 3 2 2 3 2 3" xfId="6723" xr:uid="{00000000-0005-0000-0000-0000BC460000}"/>
    <cellStyle name="Normal 10 3 2 2 3 2 3 2" xfId="15544" xr:uid="{00000000-0005-0000-0000-0000BD460000}"/>
    <cellStyle name="Normal 10 3 2 2 3 2 4" xfId="11137" xr:uid="{00000000-0005-0000-0000-0000BE460000}"/>
    <cellStyle name="Normal 10 3 2 2 3 3" xfId="1840" xr:uid="{00000000-0005-0000-0000-0000BF460000}"/>
    <cellStyle name="Normal 10 3 2 2 3 3 2" xfId="3796" xr:uid="{00000000-0005-0000-0000-0000C0460000}"/>
    <cellStyle name="Normal 10 3 2 2 3 3 2 2" xfId="8190" xr:uid="{00000000-0005-0000-0000-0000C1460000}"/>
    <cellStyle name="Normal 10 3 2 2 3 3 2 2 2" xfId="17011" xr:uid="{00000000-0005-0000-0000-0000C2460000}"/>
    <cellStyle name="Normal 10 3 2 2 3 3 2 3" xfId="12604" xr:uid="{00000000-0005-0000-0000-0000C3460000}"/>
    <cellStyle name="Normal 10 3 2 2 3 3 3" xfId="5985" xr:uid="{00000000-0005-0000-0000-0000C4460000}"/>
    <cellStyle name="Normal 10 3 2 2 3 3 3 2" xfId="14806" xr:uid="{00000000-0005-0000-0000-0000C5460000}"/>
    <cellStyle name="Normal 10 3 2 2 3 3 4" xfId="10399" xr:uid="{00000000-0005-0000-0000-0000C6460000}"/>
    <cellStyle name="Normal 10 3 2 2 3 4" xfId="3059" xr:uid="{00000000-0005-0000-0000-0000C7460000}"/>
    <cellStyle name="Normal 10 3 2 2 3 4 2" xfId="7453" xr:uid="{00000000-0005-0000-0000-0000C8460000}"/>
    <cellStyle name="Normal 10 3 2 2 3 4 2 2" xfId="16274" xr:uid="{00000000-0005-0000-0000-0000C9460000}"/>
    <cellStyle name="Normal 10 3 2 2 3 4 3" xfId="11867" xr:uid="{00000000-0005-0000-0000-0000CA460000}"/>
    <cellStyle name="Normal 10 3 2 2 3 5" xfId="5248" xr:uid="{00000000-0005-0000-0000-0000CB460000}"/>
    <cellStyle name="Normal 10 3 2 2 3 5 2" xfId="14069" xr:uid="{00000000-0005-0000-0000-0000CC460000}"/>
    <cellStyle name="Normal 10 3 2 2 3 6" xfId="9662" xr:uid="{00000000-0005-0000-0000-0000CD460000}"/>
    <cellStyle name="Normal 10 3 2 2 4" xfId="2127" xr:uid="{00000000-0005-0000-0000-0000CE460000}"/>
    <cellStyle name="Normal 10 3 2 2 4 2" xfId="4151" xr:uid="{00000000-0005-0000-0000-0000CF460000}"/>
    <cellStyle name="Normal 10 3 2 2 4 2 2" xfId="8559" xr:uid="{00000000-0005-0000-0000-0000D0460000}"/>
    <cellStyle name="Normal 10 3 2 2 4 2 2 2" xfId="17380" xr:uid="{00000000-0005-0000-0000-0000D1460000}"/>
    <cellStyle name="Normal 10 3 2 2 4 2 3" xfId="12973" xr:uid="{00000000-0005-0000-0000-0000D2460000}"/>
    <cellStyle name="Normal 10 3 2 2 4 3" xfId="6354" xr:uid="{00000000-0005-0000-0000-0000D3460000}"/>
    <cellStyle name="Normal 10 3 2 2 4 3 2" xfId="15175" xr:uid="{00000000-0005-0000-0000-0000D4460000}"/>
    <cellStyle name="Normal 10 3 2 2 4 4" xfId="10768" xr:uid="{00000000-0005-0000-0000-0000D5460000}"/>
    <cellStyle name="Normal 10 3 2 2 5" xfId="1485" xr:uid="{00000000-0005-0000-0000-0000D6460000}"/>
    <cellStyle name="Normal 10 3 2 2 5 2" xfId="3427" xr:uid="{00000000-0005-0000-0000-0000D7460000}"/>
    <cellStyle name="Normal 10 3 2 2 5 2 2" xfId="7821" xr:uid="{00000000-0005-0000-0000-0000D8460000}"/>
    <cellStyle name="Normal 10 3 2 2 5 2 2 2" xfId="16642" xr:uid="{00000000-0005-0000-0000-0000D9460000}"/>
    <cellStyle name="Normal 10 3 2 2 5 2 3" xfId="12235" xr:uid="{00000000-0005-0000-0000-0000DA460000}"/>
    <cellStyle name="Normal 10 3 2 2 5 3" xfId="5616" xr:uid="{00000000-0005-0000-0000-0000DB460000}"/>
    <cellStyle name="Normal 10 3 2 2 5 3 2" xfId="14437" xr:uid="{00000000-0005-0000-0000-0000DC460000}"/>
    <cellStyle name="Normal 10 3 2 2 5 4" xfId="10030" xr:uid="{00000000-0005-0000-0000-0000DD460000}"/>
    <cellStyle name="Normal 10 3 2 2 6" xfId="2691" xr:uid="{00000000-0005-0000-0000-0000DE460000}"/>
    <cellStyle name="Normal 10 3 2 2 6 2" xfId="7084" xr:uid="{00000000-0005-0000-0000-0000DF460000}"/>
    <cellStyle name="Normal 10 3 2 2 6 2 2" xfId="15905" xr:uid="{00000000-0005-0000-0000-0000E0460000}"/>
    <cellStyle name="Normal 10 3 2 2 6 3" xfId="11498" xr:uid="{00000000-0005-0000-0000-0000E1460000}"/>
    <cellStyle name="Normal 10 3 2 2 7" xfId="4879" xr:uid="{00000000-0005-0000-0000-0000E2460000}"/>
    <cellStyle name="Normal 10 3 2 2 7 2" xfId="13700" xr:uid="{00000000-0005-0000-0000-0000E3460000}"/>
    <cellStyle name="Normal 10 3 2 2 8" xfId="9293" xr:uid="{00000000-0005-0000-0000-0000E4460000}"/>
    <cellStyle name="Normal 10 3 2 3" xfId="1290" xr:uid="{00000000-0005-0000-0000-0000E5460000}"/>
    <cellStyle name="Normal 10 3 2 3 2" xfId="1159" xr:uid="{00000000-0005-0000-0000-0000E6460000}"/>
    <cellStyle name="Normal 10 3 2 3 2 2" xfId="2454" xr:uid="{00000000-0005-0000-0000-0000E7460000}"/>
    <cellStyle name="Normal 10 3 2 3 2 2 2" xfId="4598" xr:uid="{00000000-0005-0000-0000-0000E8460000}"/>
    <cellStyle name="Normal 10 3 2 3 2 2 2 2" xfId="9021" xr:uid="{00000000-0005-0000-0000-0000E9460000}"/>
    <cellStyle name="Normal 10 3 2 3 2 2 2 2 2" xfId="17842" xr:uid="{00000000-0005-0000-0000-0000EA460000}"/>
    <cellStyle name="Normal 10 3 2 3 2 2 2 3" xfId="13435" xr:uid="{00000000-0005-0000-0000-0000EB460000}"/>
    <cellStyle name="Normal 10 3 2 3 2 2 3" xfId="6816" xr:uid="{00000000-0005-0000-0000-0000EC460000}"/>
    <cellStyle name="Normal 10 3 2 3 2 2 3 2" xfId="15637" xr:uid="{00000000-0005-0000-0000-0000ED460000}"/>
    <cellStyle name="Normal 10 3 2 3 2 2 4" xfId="11230" xr:uid="{00000000-0005-0000-0000-0000EE460000}"/>
    <cellStyle name="Normal 10 3 2 3 2 3" xfId="1932" xr:uid="{00000000-0005-0000-0000-0000EF460000}"/>
    <cellStyle name="Normal 10 3 2 3 2 3 2" xfId="3889" xr:uid="{00000000-0005-0000-0000-0000F0460000}"/>
    <cellStyle name="Normal 10 3 2 3 2 3 2 2" xfId="8283" xr:uid="{00000000-0005-0000-0000-0000F1460000}"/>
    <cellStyle name="Normal 10 3 2 3 2 3 2 2 2" xfId="17104" xr:uid="{00000000-0005-0000-0000-0000F2460000}"/>
    <cellStyle name="Normal 10 3 2 3 2 3 2 3" xfId="12697" xr:uid="{00000000-0005-0000-0000-0000F3460000}"/>
    <cellStyle name="Normal 10 3 2 3 2 3 3" xfId="6078" xr:uid="{00000000-0005-0000-0000-0000F4460000}"/>
    <cellStyle name="Normal 10 3 2 3 2 3 3 2" xfId="14899" xr:uid="{00000000-0005-0000-0000-0000F5460000}"/>
    <cellStyle name="Normal 10 3 2 3 2 3 4" xfId="10492" xr:uid="{00000000-0005-0000-0000-0000F6460000}"/>
    <cellStyle name="Normal 10 3 2 3 2 4" xfId="3152" xr:uid="{00000000-0005-0000-0000-0000F7460000}"/>
    <cellStyle name="Normal 10 3 2 3 2 4 2" xfId="7546" xr:uid="{00000000-0005-0000-0000-0000F8460000}"/>
    <cellStyle name="Normal 10 3 2 3 2 4 2 2" xfId="16367" xr:uid="{00000000-0005-0000-0000-0000F9460000}"/>
    <cellStyle name="Normal 10 3 2 3 2 4 3" xfId="11960" xr:uid="{00000000-0005-0000-0000-0000FA460000}"/>
    <cellStyle name="Normal 10 3 2 3 2 5" xfId="5341" xr:uid="{00000000-0005-0000-0000-0000FB460000}"/>
    <cellStyle name="Normal 10 3 2 3 2 5 2" xfId="14162" xr:uid="{00000000-0005-0000-0000-0000FC460000}"/>
    <cellStyle name="Normal 10 3 2 3 2 6" xfId="9755" xr:uid="{00000000-0005-0000-0000-0000FD460000}"/>
    <cellStyle name="Normal 10 3 2 3 3" xfId="2193" xr:uid="{00000000-0005-0000-0000-0000FE460000}"/>
    <cellStyle name="Normal 10 3 2 3 3 2" xfId="4243" xr:uid="{00000000-0005-0000-0000-0000FF460000}"/>
    <cellStyle name="Normal 10 3 2 3 3 2 2" xfId="8652" xr:uid="{00000000-0005-0000-0000-000000470000}"/>
    <cellStyle name="Normal 10 3 2 3 3 2 2 2" xfId="17473" xr:uid="{00000000-0005-0000-0000-000001470000}"/>
    <cellStyle name="Normal 10 3 2 3 3 2 3" xfId="13066" xr:uid="{00000000-0005-0000-0000-000002470000}"/>
    <cellStyle name="Normal 10 3 2 3 3 3" xfId="6447" xr:uid="{00000000-0005-0000-0000-000003470000}"/>
    <cellStyle name="Normal 10 3 2 3 3 3 2" xfId="15268" xr:uid="{00000000-0005-0000-0000-000004470000}"/>
    <cellStyle name="Normal 10 3 2 3 3 4" xfId="10861" xr:uid="{00000000-0005-0000-0000-000005470000}"/>
    <cellStyle name="Normal 10 3 2 3 4" xfId="1577" xr:uid="{00000000-0005-0000-0000-000006470000}"/>
    <cellStyle name="Normal 10 3 2 3 4 2" xfId="3520" xr:uid="{00000000-0005-0000-0000-000007470000}"/>
    <cellStyle name="Normal 10 3 2 3 4 2 2" xfId="7914" xr:uid="{00000000-0005-0000-0000-000008470000}"/>
    <cellStyle name="Normal 10 3 2 3 4 2 2 2" xfId="16735" xr:uid="{00000000-0005-0000-0000-000009470000}"/>
    <cellStyle name="Normal 10 3 2 3 4 2 3" xfId="12328" xr:uid="{00000000-0005-0000-0000-00000A470000}"/>
    <cellStyle name="Normal 10 3 2 3 4 3" xfId="5709" xr:uid="{00000000-0005-0000-0000-00000B470000}"/>
    <cellStyle name="Normal 10 3 2 3 4 3 2" xfId="14530" xr:uid="{00000000-0005-0000-0000-00000C470000}"/>
    <cellStyle name="Normal 10 3 2 3 4 4" xfId="10123" xr:uid="{00000000-0005-0000-0000-00000D470000}"/>
    <cellStyle name="Normal 10 3 2 3 5" xfId="2783" xr:uid="{00000000-0005-0000-0000-00000E470000}"/>
    <cellStyle name="Normal 10 3 2 3 5 2" xfId="7177" xr:uid="{00000000-0005-0000-0000-00000F470000}"/>
    <cellStyle name="Normal 10 3 2 3 5 2 2" xfId="15998" xr:uid="{00000000-0005-0000-0000-000010470000}"/>
    <cellStyle name="Normal 10 3 2 3 5 3" xfId="11591" xr:uid="{00000000-0005-0000-0000-000011470000}"/>
    <cellStyle name="Normal 10 3 2 3 6" xfId="4972" xr:uid="{00000000-0005-0000-0000-000012470000}"/>
    <cellStyle name="Normal 10 3 2 3 6 2" xfId="13793" xr:uid="{00000000-0005-0000-0000-000013470000}"/>
    <cellStyle name="Normal 10 3 2 3 7" xfId="9386" xr:uid="{00000000-0005-0000-0000-000014470000}"/>
    <cellStyle name="Normal 10 3 2 4" xfId="1202" xr:uid="{00000000-0005-0000-0000-000015470000}"/>
    <cellStyle name="Normal 10 3 2 4 2" xfId="2323" xr:uid="{00000000-0005-0000-0000-000016470000}"/>
    <cellStyle name="Normal 10 3 2 4 2 2" xfId="4414" xr:uid="{00000000-0005-0000-0000-000017470000}"/>
    <cellStyle name="Normal 10 3 2 4 2 2 2" xfId="8836" xr:uid="{00000000-0005-0000-0000-000018470000}"/>
    <cellStyle name="Normal 10 3 2 4 2 2 2 2" xfId="17657" xr:uid="{00000000-0005-0000-0000-000019470000}"/>
    <cellStyle name="Normal 10 3 2 4 2 2 3" xfId="13250" xr:uid="{00000000-0005-0000-0000-00001A470000}"/>
    <cellStyle name="Normal 10 3 2 4 2 3" xfId="6631" xr:uid="{00000000-0005-0000-0000-00001B470000}"/>
    <cellStyle name="Normal 10 3 2 4 2 3 2" xfId="15452" xr:uid="{00000000-0005-0000-0000-00001C470000}"/>
    <cellStyle name="Normal 10 3 2 4 2 4" xfId="11045" xr:uid="{00000000-0005-0000-0000-00001D470000}"/>
    <cellStyle name="Normal 10 3 2 4 3" xfId="1748" xr:uid="{00000000-0005-0000-0000-00001E470000}"/>
    <cellStyle name="Normal 10 3 2 4 3 2" xfId="3704" xr:uid="{00000000-0005-0000-0000-00001F470000}"/>
    <cellStyle name="Normal 10 3 2 4 3 2 2" xfId="8098" xr:uid="{00000000-0005-0000-0000-000020470000}"/>
    <cellStyle name="Normal 10 3 2 4 3 2 2 2" xfId="16919" xr:uid="{00000000-0005-0000-0000-000021470000}"/>
    <cellStyle name="Normal 10 3 2 4 3 2 3" xfId="12512" xr:uid="{00000000-0005-0000-0000-000022470000}"/>
    <cellStyle name="Normal 10 3 2 4 3 3" xfId="5893" xr:uid="{00000000-0005-0000-0000-000023470000}"/>
    <cellStyle name="Normal 10 3 2 4 3 3 2" xfId="14714" xr:uid="{00000000-0005-0000-0000-000024470000}"/>
    <cellStyle name="Normal 10 3 2 4 3 4" xfId="10307" xr:uid="{00000000-0005-0000-0000-000025470000}"/>
    <cellStyle name="Normal 10 3 2 4 4" xfId="2967" xr:uid="{00000000-0005-0000-0000-000026470000}"/>
    <cellStyle name="Normal 10 3 2 4 4 2" xfId="7361" xr:uid="{00000000-0005-0000-0000-000027470000}"/>
    <cellStyle name="Normal 10 3 2 4 4 2 2" xfId="16182" xr:uid="{00000000-0005-0000-0000-000028470000}"/>
    <cellStyle name="Normal 10 3 2 4 4 3" xfId="11775" xr:uid="{00000000-0005-0000-0000-000029470000}"/>
    <cellStyle name="Normal 10 3 2 4 5" xfId="5156" xr:uid="{00000000-0005-0000-0000-00002A470000}"/>
    <cellStyle name="Normal 10 3 2 4 5 2" xfId="13977" xr:uid="{00000000-0005-0000-0000-00002B470000}"/>
    <cellStyle name="Normal 10 3 2 4 6" xfId="9570" xr:uid="{00000000-0005-0000-0000-00002C470000}"/>
    <cellStyle name="Normal 10 3 2 5" xfId="2062" xr:uid="{00000000-0005-0000-0000-00002D470000}"/>
    <cellStyle name="Normal 10 3 2 5 2" xfId="4059" xr:uid="{00000000-0005-0000-0000-00002E470000}"/>
    <cellStyle name="Normal 10 3 2 5 2 2" xfId="8467" xr:uid="{00000000-0005-0000-0000-00002F470000}"/>
    <cellStyle name="Normal 10 3 2 5 2 2 2" xfId="17288" xr:uid="{00000000-0005-0000-0000-000030470000}"/>
    <cellStyle name="Normal 10 3 2 5 2 3" xfId="12881" xr:uid="{00000000-0005-0000-0000-000031470000}"/>
    <cellStyle name="Normal 10 3 2 5 3" xfId="6262" xr:uid="{00000000-0005-0000-0000-000032470000}"/>
    <cellStyle name="Normal 10 3 2 5 3 2" xfId="15083" xr:uid="{00000000-0005-0000-0000-000033470000}"/>
    <cellStyle name="Normal 10 3 2 5 4" xfId="10676" xr:uid="{00000000-0005-0000-0000-000034470000}"/>
    <cellStyle name="Normal 10 3 2 6" xfId="1420" xr:uid="{00000000-0005-0000-0000-000035470000}"/>
    <cellStyle name="Normal 10 3 2 6 2" xfId="3335" xr:uid="{00000000-0005-0000-0000-000036470000}"/>
    <cellStyle name="Normal 10 3 2 6 2 2" xfId="7729" xr:uid="{00000000-0005-0000-0000-000037470000}"/>
    <cellStyle name="Normal 10 3 2 6 2 2 2" xfId="16550" xr:uid="{00000000-0005-0000-0000-000038470000}"/>
    <cellStyle name="Normal 10 3 2 6 2 3" xfId="12143" xr:uid="{00000000-0005-0000-0000-000039470000}"/>
    <cellStyle name="Normal 10 3 2 6 3" xfId="5524" xr:uid="{00000000-0005-0000-0000-00003A470000}"/>
    <cellStyle name="Normal 10 3 2 6 3 2" xfId="14345" xr:uid="{00000000-0005-0000-0000-00003B470000}"/>
    <cellStyle name="Normal 10 3 2 6 4" xfId="9938" xr:uid="{00000000-0005-0000-0000-00003C470000}"/>
    <cellStyle name="Normal 10 3 2 7" xfId="2599" xr:uid="{00000000-0005-0000-0000-00003D470000}"/>
    <cellStyle name="Normal 10 3 2 7 2" xfId="6992" xr:uid="{00000000-0005-0000-0000-00003E470000}"/>
    <cellStyle name="Normal 10 3 2 7 2 2" xfId="15813" xr:uid="{00000000-0005-0000-0000-00003F470000}"/>
    <cellStyle name="Normal 10 3 2 7 3" xfId="11406" xr:uid="{00000000-0005-0000-0000-000040470000}"/>
    <cellStyle name="Normal 10 3 2 8" xfId="4787" xr:uid="{00000000-0005-0000-0000-000041470000}"/>
    <cellStyle name="Normal 10 3 2 8 2" xfId="13608" xr:uid="{00000000-0005-0000-0000-000042470000}"/>
    <cellStyle name="Normal 10 3 2 9" xfId="9201" xr:uid="{00000000-0005-0000-0000-000043470000}"/>
    <cellStyle name="Normal 10 3 3" xfId="1263" xr:uid="{00000000-0005-0000-0000-000044470000}"/>
    <cellStyle name="Normal 10 3 3 2" xfId="1253" xr:uid="{00000000-0005-0000-0000-000045470000}"/>
    <cellStyle name="Normal 10 3 3 2 2" xfId="1325" xr:uid="{00000000-0005-0000-0000-000046470000}"/>
    <cellStyle name="Normal 10 3 3 2 2 2" xfId="2473" xr:uid="{00000000-0005-0000-0000-000047470000}"/>
    <cellStyle name="Normal 10 3 3 2 2 2 2" xfId="4643" xr:uid="{00000000-0005-0000-0000-000048470000}"/>
    <cellStyle name="Normal 10 3 3 2 2 2 2 2" xfId="9066" xr:uid="{00000000-0005-0000-0000-000049470000}"/>
    <cellStyle name="Normal 10 3 3 2 2 2 2 2 2" xfId="17887" xr:uid="{00000000-0005-0000-0000-00004A470000}"/>
    <cellStyle name="Normal 10 3 3 2 2 2 2 3" xfId="13480" xr:uid="{00000000-0005-0000-0000-00004B470000}"/>
    <cellStyle name="Normal 10 3 3 2 2 2 3" xfId="6861" xr:uid="{00000000-0005-0000-0000-00004C470000}"/>
    <cellStyle name="Normal 10 3 3 2 2 2 3 2" xfId="15682" xr:uid="{00000000-0005-0000-0000-00004D470000}"/>
    <cellStyle name="Normal 10 3 3 2 2 2 4" xfId="11275" xr:uid="{00000000-0005-0000-0000-00004E470000}"/>
    <cellStyle name="Normal 10 3 3 2 2 3" xfId="1977" xr:uid="{00000000-0005-0000-0000-00004F470000}"/>
    <cellStyle name="Normal 10 3 3 2 2 3 2" xfId="3934" xr:uid="{00000000-0005-0000-0000-000050470000}"/>
    <cellStyle name="Normal 10 3 3 2 2 3 2 2" xfId="8328" xr:uid="{00000000-0005-0000-0000-000051470000}"/>
    <cellStyle name="Normal 10 3 3 2 2 3 2 2 2" xfId="17149" xr:uid="{00000000-0005-0000-0000-000052470000}"/>
    <cellStyle name="Normal 10 3 3 2 2 3 2 3" xfId="12742" xr:uid="{00000000-0005-0000-0000-000053470000}"/>
    <cellStyle name="Normal 10 3 3 2 2 3 3" xfId="6123" xr:uid="{00000000-0005-0000-0000-000054470000}"/>
    <cellStyle name="Normal 10 3 3 2 2 3 3 2" xfId="14944" xr:uid="{00000000-0005-0000-0000-000055470000}"/>
    <cellStyle name="Normal 10 3 3 2 2 3 4" xfId="10537" xr:uid="{00000000-0005-0000-0000-000056470000}"/>
    <cellStyle name="Normal 10 3 3 2 2 4" xfId="3197" xr:uid="{00000000-0005-0000-0000-000057470000}"/>
    <cellStyle name="Normal 10 3 3 2 2 4 2" xfId="7591" xr:uid="{00000000-0005-0000-0000-000058470000}"/>
    <cellStyle name="Normal 10 3 3 2 2 4 2 2" xfId="16412" xr:uid="{00000000-0005-0000-0000-000059470000}"/>
    <cellStyle name="Normal 10 3 3 2 2 4 3" xfId="12005" xr:uid="{00000000-0005-0000-0000-00005A470000}"/>
    <cellStyle name="Normal 10 3 3 2 2 5" xfId="5386" xr:uid="{00000000-0005-0000-0000-00005B470000}"/>
    <cellStyle name="Normal 10 3 3 2 2 5 2" xfId="14207" xr:uid="{00000000-0005-0000-0000-00005C470000}"/>
    <cellStyle name="Normal 10 3 3 2 2 6" xfId="9800" xr:uid="{00000000-0005-0000-0000-00005D470000}"/>
    <cellStyle name="Normal 10 3 3 2 3" xfId="2212" xr:uid="{00000000-0005-0000-0000-00005E470000}"/>
    <cellStyle name="Normal 10 3 3 2 3 2" xfId="4288" xr:uid="{00000000-0005-0000-0000-00005F470000}"/>
    <cellStyle name="Normal 10 3 3 2 3 2 2" xfId="8697" xr:uid="{00000000-0005-0000-0000-000060470000}"/>
    <cellStyle name="Normal 10 3 3 2 3 2 2 2" xfId="17518" xr:uid="{00000000-0005-0000-0000-000061470000}"/>
    <cellStyle name="Normal 10 3 3 2 3 2 3" xfId="13111" xr:uid="{00000000-0005-0000-0000-000062470000}"/>
    <cellStyle name="Normal 10 3 3 2 3 3" xfId="6492" xr:uid="{00000000-0005-0000-0000-000063470000}"/>
    <cellStyle name="Normal 10 3 3 2 3 3 2" xfId="15313" xr:uid="{00000000-0005-0000-0000-000064470000}"/>
    <cellStyle name="Normal 10 3 3 2 3 4" xfId="10906" xr:uid="{00000000-0005-0000-0000-000065470000}"/>
    <cellStyle name="Normal 10 3 3 2 4" xfId="1622" xr:uid="{00000000-0005-0000-0000-000066470000}"/>
    <cellStyle name="Normal 10 3 3 2 4 2" xfId="3565" xr:uid="{00000000-0005-0000-0000-000067470000}"/>
    <cellStyle name="Normal 10 3 3 2 4 2 2" xfId="7959" xr:uid="{00000000-0005-0000-0000-000068470000}"/>
    <cellStyle name="Normal 10 3 3 2 4 2 2 2" xfId="16780" xr:uid="{00000000-0005-0000-0000-000069470000}"/>
    <cellStyle name="Normal 10 3 3 2 4 2 3" xfId="12373" xr:uid="{00000000-0005-0000-0000-00006A470000}"/>
    <cellStyle name="Normal 10 3 3 2 4 3" xfId="5754" xr:uid="{00000000-0005-0000-0000-00006B470000}"/>
    <cellStyle name="Normal 10 3 3 2 4 3 2" xfId="14575" xr:uid="{00000000-0005-0000-0000-00006C470000}"/>
    <cellStyle name="Normal 10 3 3 2 4 4" xfId="10168" xr:uid="{00000000-0005-0000-0000-00006D470000}"/>
    <cellStyle name="Normal 10 3 3 2 5" xfId="2828" xr:uid="{00000000-0005-0000-0000-00006E470000}"/>
    <cellStyle name="Normal 10 3 3 2 5 2" xfId="7222" xr:uid="{00000000-0005-0000-0000-00006F470000}"/>
    <cellStyle name="Normal 10 3 3 2 5 2 2" xfId="16043" xr:uid="{00000000-0005-0000-0000-000070470000}"/>
    <cellStyle name="Normal 10 3 3 2 5 3" xfId="11636" xr:uid="{00000000-0005-0000-0000-000071470000}"/>
    <cellStyle name="Normal 10 3 3 2 6" xfId="5017" xr:uid="{00000000-0005-0000-0000-000072470000}"/>
    <cellStyle name="Normal 10 3 3 2 6 2" xfId="13838" xr:uid="{00000000-0005-0000-0000-000073470000}"/>
    <cellStyle name="Normal 10 3 3 2 7" xfId="9431" xr:uid="{00000000-0005-0000-0000-000074470000}"/>
    <cellStyle name="Normal 10 3 3 3" xfId="1293" xr:uid="{00000000-0005-0000-0000-000075470000}"/>
    <cellStyle name="Normal 10 3 3 3 2" xfId="2342" xr:uid="{00000000-0005-0000-0000-000076470000}"/>
    <cellStyle name="Normal 10 3 3 3 2 2" xfId="4459" xr:uid="{00000000-0005-0000-0000-000077470000}"/>
    <cellStyle name="Normal 10 3 3 3 2 2 2" xfId="8881" xr:uid="{00000000-0005-0000-0000-000078470000}"/>
    <cellStyle name="Normal 10 3 3 3 2 2 2 2" xfId="17702" xr:uid="{00000000-0005-0000-0000-000079470000}"/>
    <cellStyle name="Normal 10 3 3 3 2 2 3" xfId="13295" xr:uid="{00000000-0005-0000-0000-00007A470000}"/>
    <cellStyle name="Normal 10 3 3 3 2 3" xfId="6676" xr:uid="{00000000-0005-0000-0000-00007B470000}"/>
    <cellStyle name="Normal 10 3 3 3 2 3 2" xfId="15497" xr:uid="{00000000-0005-0000-0000-00007C470000}"/>
    <cellStyle name="Normal 10 3 3 3 2 4" xfId="11090" xr:uid="{00000000-0005-0000-0000-00007D470000}"/>
    <cellStyle name="Normal 10 3 3 3 3" xfId="1793" xr:uid="{00000000-0005-0000-0000-00007E470000}"/>
    <cellStyle name="Normal 10 3 3 3 3 2" xfId="3749" xr:uid="{00000000-0005-0000-0000-00007F470000}"/>
    <cellStyle name="Normal 10 3 3 3 3 2 2" xfId="8143" xr:uid="{00000000-0005-0000-0000-000080470000}"/>
    <cellStyle name="Normal 10 3 3 3 3 2 2 2" xfId="16964" xr:uid="{00000000-0005-0000-0000-000081470000}"/>
    <cellStyle name="Normal 10 3 3 3 3 2 3" xfId="12557" xr:uid="{00000000-0005-0000-0000-000082470000}"/>
    <cellStyle name="Normal 10 3 3 3 3 3" xfId="5938" xr:uid="{00000000-0005-0000-0000-000083470000}"/>
    <cellStyle name="Normal 10 3 3 3 3 3 2" xfId="14759" xr:uid="{00000000-0005-0000-0000-000084470000}"/>
    <cellStyle name="Normal 10 3 3 3 3 4" xfId="10352" xr:uid="{00000000-0005-0000-0000-000085470000}"/>
    <cellStyle name="Normal 10 3 3 3 4" xfId="3012" xr:uid="{00000000-0005-0000-0000-000086470000}"/>
    <cellStyle name="Normal 10 3 3 3 4 2" xfId="7406" xr:uid="{00000000-0005-0000-0000-000087470000}"/>
    <cellStyle name="Normal 10 3 3 3 4 2 2" xfId="16227" xr:uid="{00000000-0005-0000-0000-000088470000}"/>
    <cellStyle name="Normal 10 3 3 3 4 3" xfId="11820" xr:uid="{00000000-0005-0000-0000-000089470000}"/>
    <cellStyle name="Normal 10 3 3 3 5" xfId="5201" xr:uid="{00000000-0005-0000-0000-00008A470000}"/>
    <cellStyle name="Normal 10 3 3 3 5 2" xfId="14022" xr:uid="{00000000-0005-0000-0000-00008B470000}"/>
    <cellStyle name="Normal 10 3 3 3 6" xfId="9615" xr:uid="{00000000-0005-0000-0000-00008C470000}"/>
    <cellStyle name="Normal 10 3 3 4" xfId="2081" xr:uid="{00000000-0005-0000-0000-00008D470000}"/>
    <cellStyle name="Normal 10 3 3 4 2" xfId="4104" xr:uid="{00000000-0005-0000-0000-00008E470000}"/>
    <cellStyle name="Normal 10 3 3 4 2 2" xfId="8512" xr:uid="{00000000-0005-0000-0000-00008F470000}"/>
    <cellStyle name="Normal 10 3 3 4 2 2 2" xfId="17333" xr:uid="{00000000-0005-0000-0000-000090470000}"/>
    <cellStyle name="Normal 10 3 3 4 2 3" xfId="12926" xr:uid="{00000000-0005-0000-0000-000091470000}"/>
    <cellStyle name="Normal 10 3 3 4 3" xfId="6307" xr:uid="{00000000-0005-0000-0000-000092470000}"/>
    <cellStyle name="Normal 10 3 3 4 3 2" xfId="15128" xr:uid="{00000000-0005-0000-0000-000093470000}"/>
    <cellStyle name="Normal 10 3 3 4 4" xfId="10721" xr:uid="{00000000-0005-0000-0000-000094470000}"/>
    <cellStyle name="Normal 10 3 3 5" xfId="1439" xr:uid="{00000000-0005-0000-0000-000095470000}"/>
    <cellStyle name="Normal 10 3 3 5 2" xfId="3380" xr:uid="{00000000-0005-0000-0000-000096470000}"/>
    <cellStyle name="Normal 10 3 3 5 2 2" xfId="7774" xr:uid="{00000000-0005-0000-0000-000097470000}"/>
    <cellStyle name="Normal 10 3 3 5 2 2 2" xfId="16595" xr:uid="{00000000-0005-0000-0000-000098470000}"/>
    <cellStyle name="Normal 10 3 3 5 2 3" xfId="12188" xr:uid="{00000000-0005-0000-0000-000099470000}"/>
    <cellStyle name="Normal 10 3 3 5 3" xfId="5569" xr:uid="{00000000-0005-0000-0000-00009A470000}"/>
    <cellStyle name="Normal 10 3 3 5 3 2" xfId="14390" xr:uid="{00000000-0005-0000-0000-00009B470000}"/>
    <cellStyle name="Normal 10 3 3 5 4" xfId="9983" xr:uid="{00000000-0005-0000-0000-00009C470000}"/>
    <cellStyle name="Normal 10 3 3 6" xfId="2644" xr:uid="{00000000-0005-0000-0000-00009D470000}"/>
    <cellStyle name="Normal 10 3 3 6 2" xfId="7037" xr:uid="{00000000-0005-0000-0000-00009E470000}"/>
    <cellStyle name="Normal 10 3 3 6 2 2" xfId="15858" xr:uid="{00000000-0005-0000-0000-00009F470000}"/>
    <cellStyle name="Normal 10 3 3 6 3" xfId="11451" xr:uid="{00000000-0005-0000-0000-0000A0470000}"/>
    <cellStyle name="Normal 10 3 3 7" xfId="4832" xr:uid="{00000000-0005-0000-0000-0000A1470000}"/>
    <cellStyle name="Normal 10 3 3 7 2" xfId="13653" xr:uid="{00000000-0005-0000-0000-0000A2470000}"/>
    <cellStyle name="Normal 10 3 3 8" xfId="9246" xr:uid="{00000000-0005-0000-0000-0000A3470000}"/>
    <cellStyle name="Normal 10 3 4" xfId="1160" xr:uid="{00000000-0005-0000-0000-0000A4470000}"/>
    <cellStyle name="Normal 10 3 4 2" xfId="1189" xr:uid="{00000000-0005-0000-0000-0000A5470000}"/>
    <cellStyle name="Normal 10 3 4 2 2" xfId="2408" xr:uid="{00000000-0005-0000-0000-0000A6470000}"/>
    <cellStyle name="Normal 10 3 4 2 2 2" xfId="4552" xr:uid="{00000000-0005-0000-0000-0000A7470000}"/>
    <cellStyle name="Normal 10 3 4 2 2 2 2" xfId="8974" xr:uid="{00000000-0005-0000-0000-0000A8470000}"/>
    <cellStyle name="Normal 10 3 4 2 2 2 2 2" xfId="17795" xr:uid="{00000000-0005-0000-0000-0000A9470000}"/>
    <cellStyle name="Normal 10 3 4 2 2 2 3" xfId="13388" xr:uid="{00000000-0005-0000-0000-0000AA470000}"/>
    <cellStyle name="Normal 10 3 4 2 2 3" xfId="6769" xr:uid="{00000000-0005-0000-0000-0000AB470000}"/>
    <cellStyle name="Normal 10 3 4 2 2 3 2" xfId="15590" xr:uid="{00000000-0005-0000-0000-0000AC470000}"/>
    <cellStyle name="Normal 10 3 4 2 2 4" xfId="11183" xr:uid="{00000000-0005-0000-0000-0000AD470000}"/>
    <cellStyle name="Normal 10 3 4 2 3" xfId="1886" xr:uid="{00000000-0005-0000-0000-0000AE470000}"/>
    <cellStyle name="Normal 10 3 4 2 3 2" xfId="3842" xr:uid="{00000000-0005-0000-0000-0000AF470000}"/>
    <cellStyle name="Normal 10 3 4 2 3 2 2" xfId="8236" xr:uid="{00000000-0005-0000-0000-0000B0470000}"/>
    <cellStyle name="Normal 10 3 4 2 3 2 2 2" xfId="17057" xr:uid="{00000000-0005-0000-0000-0000B1470000}"/>
    <cellStyle name="Normal 10 3 4 2 3 2 3" xfId="12650" xr:uid="{00000000-0005-0000-0000-0000B2470000}"/>
    <cellStyle name="Normal 10 3 4 2 3 3" xfId="6031" xr:uid="{00000000-0005-0000-0000-0000B3470000}"/>
    <cellStyle name="Normal 10 3 4 2 3 3 2" xfId="14852" xr:uid="{00000000-0005-0000-0000-0000B4470000}"/>
    <cellStyle name="Normal 10 3 4 2 3 4" xfId="10445" xr:uid="{00000000-0005-0000-0000-0000B5470000}"/>
    <cellStyle name="Normal 10 3 4 2 4" xfId="3105" xr:uid="{00000000-0005-0000-0000-0000B6470000}"/>
    <cellStyle name="Normal 10 3 4 2 4 2" xfId="7499" xr:uid="{00000000-0005-0000-0000-0000B7470000}"/>
    <cellStyle name="Normal 10 3 4 2 4 2 2" xfId="16320" xr:uid="{00000000-0005-0000-0000-0000B8470000}"/>
    <cellStyle name="Normal 10 3 4 2 4 3" xfId="11913" xr:uid="{00000000-0005-0000-0000-0000B9470000}"/>
    <cellStyle name="Normal 10 3 4 2 5" xfId="5294" xr:uid="{00000000-0005-0000-0000-0000BA470000}"/>
    <cellStyle name="Normal 10 3 4 2 5 2" xfId="14115" xr:uid="{00000000-0005-0000-0000-0000BB470000}"/>
    <cellStyle name="Normal 10 3 4 2 6" xfId="9708" xr:uid="{00000000-0005-0000-0000-0000BC470000}"/>
    <cellStyle name="Normal 10 3 4 3" xfId="2147" xr:uid="{00000000-0005-0000-0000-0000BD470000}"/>
    <cellStyle name="Normal 10 3 4 3 2" xfId="4197" xr:uid="{00000000-0005-0000-0000-0000BE470000}"/>
    <cellStyle name="Normal 10 3 4 3 2 2" xfId="8605" xr:uid="{00000000-0005-0000-0000-0000BF470000}"/>
    <cellStyle name="Normal 10 3 4 3 2 2 2" xfId="17426" xr:uid="{00000000-0005-0000-0000-0000C0470000}"/>
    <cellStyle name="Normal 10 3 4 3 2 3" xfId="13019" xr:uid="{00000000-0005-0000-0000-0000C1470000}"/>
    <cellStyle name="Normal 10 3 4 3 3" xfId="6400" xr:uid="{00000000-0005-0000-0000-0000C2470000}"/>
    <cellStyle name="Normal 10 3 4 3 3 2" xfId="15221" xr:uid="{00000000-0005-0000-0000-0000C3470000}"/>
    <cellStyle name="Normal 10 3 4 3 4" xfId="10814" xr:uid="{00000000-0005-0000-0000-0000C4470000}"/>
    <cellStyle name="Normal 10 3 4 4" xfId="1531" xr:uid="{00000000-0005-0000-0000-0000C5470000}"/>
    <cellStyle name="Normal 10 3 4 4 2" xfId="3473" xr:uid="{00000000-0005-0000-0000-0000C6470000}"/>
    <cellStyle name="Normal 10 3 4 4 2 2" xfId="7867" xr:uid="{00000000-0005-0000-0000-0000C7470000}"/>
    <cellStyle name="Normal 10 3 4 4 2 2 2" xfId="16688" xr:uid="{00000000-0005-0000-0000-0000C8470000}"/>
    <cellStyle name="Normal 10 3 4 4 2 3" xfId="12281" xr:uid="{00000000-0005-0000-0000-0000C9470000}"/>
    <cellStyle name="Normal 10 3 4 4 3" xfId="5662" xr:uid="{00000000-0005-0000-0000-0000CA470000}"/>
    <cellStyle name="Normal 10 3 4 4 3 2" xfId="14483" xr:uid="{00000000-0005-0000-0000-0000CB470000}"/>
    <cellStyle name="Normal 10 3 4 4 4" xfId="10076" xr:uid="{00000000-0005-0000-0000-0000CC470000}"/>
    <cellStyle name="Normal 10 3 4 5" xfId="2737" xr:uid="{00000000-0005-0000-0000-0000CD470000}"/>
    <cellStyle name="Normal 10 3 4 5 2" xfId="7130" xr:uid="{00000000-0005-0000-0000-0000CE470000}"/>
    <cellStyle name="Normal 10 3 4 5 2 2" xfId="15951" xr:uid="{00000000-0005-0000-0000-0000CF470000}"/>
    <cellStyle name="Normal 10 3 4 5 3" xfId="11544" xr:uid="{00000000-0005-0000-0000-0000D0470000}"/>
    <cellStyle name="Normal 10 3 4 6" xfId="4925" xr:uid="{00000000-0005-0000-0000-0000D1470000}"/>
    <cellStyle name="Normal 10 3 4 6 2" xfId="13746" xr:uid="{00000000-0005-0000-0000-0000D2470000}"/>
    <cellStyle name="Normal 10 3 4 7" xfId="9339" xr:uid="{00000000-0005-0000-0000-0000D3470000}"/>
    <cellStyle name="Normal 10 3 5" xfId="1276" xr:uid="{00000000-0005-0000-0000-0000D4470000}"/>
    <cellStyle name="Normal 10 3 5 2" xfId="2277" xr:uid="{00000000-0005-0000-0000-0000D5470000}"/>
    <cellStyle name="Normal 10 3 5 2 2" xfId="4368" xr:uid="{00000000-0005-0000-0000-0000D6470000}"/>
    <cellStyle name="Normal 10 3 5 2 2 2" xfId="8789" xr:uid="{00000000-0005-0000-0000-0000D7470000}"/>
    <cellStyle name="Normal 10 3 5 2 2 2 2" xfId="17610" xr:uid="{00000000-0005-0000-0000-0000D8470000}"/>
    <cellStyle name="Normal 10 3 5 2 2 3" xfId="13203" xr:uid="{00000000-0005-0000-0000-0000D9470000}"/>
    <cellStyle name="Normal 10 3 5 2 3" xfId="6584" xr:uid="{00000000-0005-0000-0000-0000DA470000}"/>
    <cellStyle name="Normal 10 3 5 2 3 2" xfId="15405" xr:uid="{00000000-0005-0000-0000-0000DB470000}"/>
    <cellStyle name="Normal 10 3 5 2 4" xfId="10998" xr:uid="{00000000-0005-0000-0000-0000DC470000}"/>
    <cellStyle name="Normal 10 3 5 3" xfId="1702" xr:uid="{00000000-0005-0000-0000-0000DD470000}"/>
    <cellStyle name="Normal 10 3 5 3 2" xfId="3657" xr:uid="{00000000-0005-0000-0000-0000DE470000}"/>
    <cellStyle name="Normal 10 3 5 3 2 2" xfId="8051" xr:uid="{00000000-0005-0000-0000-0000DF470000}"/>
    <cellStyle name="Normal 10 3 5 3 2 2 2" xfId="16872" xr:uid="{00000000-0005-0000-0000-0000E0470000}"/>
    <cellStyle name="Normal 10 3 5 3 2 3" xfId="12465" xr:uid="{00000000-0005-0000-0000-0000E1470000}"/>
    <cellStyle name="Normal 10 3 5 3 3" xfId="5846" xr:uid="{00000000-0005-0000-0000-0000E2470000}"/>
    <cellStyle name="Normal 10 3 5 3 3 2" xfId="14667" xr:uid="{00000000-0005-0000-0000-0000E3470000}"/>
    <cellStyle name="Normal 10 3 5 3 4" xfId="10260" xr:uid="{00000000-0005-0000-0000-0000E4470000}"/>
    <cellStyle name="Normal 10 3 5 4" xfId="2920" xr:uid="{00000000-0005-0000-0000-0000E5470000}"/>
    <cellStyle name="Normal 10 3 5 4 2" xfId="7314" xr:uid="{00000000-0005-0000-0000-0000E6470000}"/>
    <cellStyle name="Normal 10 3 5 4 2 2" xfId="16135" xr:uid="{00000000-0005-0000-0000-0000E7470000}"/>
    <cellStyle name="Normal 10 3 5 4 3" xfId="11728" xr:uid="{00000000-0005-0000-0000-0000E8470000}"/>
    <cellStyle name="Normal 10 3 5 5" xfId="5109" xr:uid="{00000000-0005-0000-0000-0000E9470000}"/>
    <cellStyle name="Normal 10 3 5 5 2" xfId="13930" xr:uid="{00000000-0005-0000-0000-0000EA470000}"/>
    <cellStyle name="Normal 10 3 5 6" xfId="9523" xr:uid="{00000000-0005-0000-0000-0000EB470000}"/>
    <cellStyle name="Normal 10 3 6" xfId="2042" xr:uid="{00000000-0005-0000-0000-0000EC470000}"/>
    <cellStyle name="Normal 10 3 6 2" xfId="4013" xr:uid="{00000000-0005-0000-0000-0000ED470000}"/>
    <cellStyle name="Normal 10 3 6 2 2" xfId="8420" xr:uid="{00000000-0005-0000-0000-0000EE470000}"/>
    <cellStyle name="Normal 10 3 6 2 2 2" xfId="17241" xr:uid="{00000000-0005-0000-0000-0000EF470000}"/>
    <cellStyle name="Normal 10 3 6 2 3" xfId="12834" xr:uid="{00000000-0005-0000-0000-0000F0470000}"/>
    <cellStyle name="Normal 10 3 6 3" xfId="6215" xr:uid="{00000000-0005-0000-0000-0000F1470000}"/>
    <cellStyle name="Normal 10 3 6 3 2" xfId="15036" xr:uid="{00000000-0005-0000-0000-0000F2470000}"/>
    <cellStyle name="Normal 10 3 6 4" xfId="10629" xr:uid="{00000000-0005-0000-0000-0000F3470000}"/>
    <cellStyle name="Normal 10 3 7" xfId="1374" xr:uid="{00000000-0005-0000-0000-0000F4470000}"/>
    <cellStyle name="Normal 10 3 7 2" xfId="3288" xr:uid="{00000000-0005-0000-0000-0000F5470000}"/>
    <cellStyle name="Normal 10 3 7 2 2" xfId="7682" xr:uid="{00000000-0005-0000-0000-0000F6470000}"/>
    <cellStyle name="Normal 10 3 7 2 2 2" xfId="16503" xr:uid="{00000000-0005-0000-0000-0000F7470000}"/>
    <cellStyle name="Normal 10 3 7 2 3" xfId="12096" xr:uid="{00000000-0005-0000-0000-0000F8470000}"/>
    <cellStyle name="Normal 10 3 7 3" xfId="5477" xr:uid="{00000000-0005-0000-0000-0000F9470000}"/>
    <cellStyle name="Normal 10 3 7 3 2" xfId="14298" xr:uid="{00000000-0005-0000-0000-0000FA470000}"/>
    <cellStyle name="Normal 10 3 7 4" xfId="9891" xr:uid="{00000000-0005-0000-0000-0000FB470000}"/>
    <cellStyle name="Normal 10 3 8" xfId="2553" xr:uid="{00000000-0005-0000-0000-0000FC470000}"/>
    <cellStyle name="Normal 10 3 8 2" xfId="6945" xr:uid="{00000000-0005-0000-0000-0000FD470000}"/>
    <cellStyle name="Normal 10 3 8 2 2" xfId="15766" xr:uid="{00000000-0005-0000-0000-0000FE470000}"/>
    <cellStyle name="Normal 10 3 8 3" xfId="11359" xr:uid="{00000000-0005-0000-0000-0000FF470000}"/>
    <cellStyle name="Normal 10 3 9" xfId="4740" xr:uid="{00000000-0005-0000-0000-000000480000}"/>
    <cellStyle name="Normal 10 3 9 2" xfId="13561" xr:uid="{00000000-0005-0000-0000-000001480000}"/>
    <cellStyle name="Normal 10 4" xfId="721" xr:uid="{00000000-0005-0000-0000-000002480000}"/>
    <cellStyle name="Normal 10 4 10" xfId="18075" xr:uid="{00000000-0005-0000-0000-000003480000}"/>
    <cellStyle name="Normal 10 4 11" xfId="28330" xr:uid="{00000000-0005-0000-0000-000004480000}"/>
    <cellStyle name="Normal 10 4 12" xfId="29251" xr:uid="{00000000-0005-0000-0000-000005480000}"/>
    <cellStyle name="Normal 10 4 2" xfId="1313" xr:uid="{00000000-0005-0000-0000-000006480000}"/>
    <cellStyle name="Normal 10 4 2 2" xfId="1071" xr:uid="{00000000-0005-0000-0000-000007480000}"/>
    <cellStyle name="Normal 10 4 2 2 2" xfId="1332" xr:uid="{00000000-0005-0000-0000-000008480000}"/>
    <cellStyle name="Normal 10 4 2 2 2 2" xfId="2480" xr:uid="{00000000-0005-0000-0000-000009480000}"/>
    <cellStyle name="Normal 10 4 2 2 2 2 2" xfId="4650" xr:uid="{00000000-0005-0000-0000-00000A480000}"/>
    <cellStyle name="Normal 10 4 2 2 2 2 2 2" xfId="9073" xr:uid="{00000000-0005-0000-0000-00000B480000}"/>
    <cellStyle name="Normal 10 4 2 2 2 2 2 2 2" xfId="17894" xr:uid="{00000000-0005-0000-0000-00000C480000}"/>
    <cellStyle name="Normal 10 4 2 2 2 2 2 3" xfId="13487" xr:uid="{00000000-0005-0000-0000-00000D480000}"/>
    <cellStyle name="Normal 10 4 2 2 2 2 3" xfId="6868" xr:uid="{00000000-0005-0000-0000-00000E480000}"/>
    <cellStyle name="Normal 10 4 2 2 2 2 3 2" xfId="15689" xr:uid="{00000000-0005-0000-0000-00000F480000}"/>
    <cellStyle name="Normal 10 4 2 2 2 2 4" xfId="11282" xr:uid="{00000000-0005-0000-0000-000010480000}"/>
    <cellStyle name="Normal 10 4 2 2 2 3" xfId="1984" xr:uid="{00000000-0005-0000-0000-000011480000}"/>
    <cellStyle name="Normal 10 4 2 2 2 3 2" xfId="3941" xr:uid="{00000000-0005-0000-0000-000012480000}"/>
    <cellStyle name="Normal 10 4 2 2 2 3 2 2" xfId="8335" xr:uid="{00000000-0005-0000-0000-000013480000}"/>
    <cellStyle name="Normal 10 4 2 2 2 3 2 2 2" xfId="17156" xr:uid="{00000000-0005-0000-0000-000014480000}"/>
    <cellStyle name="Normal 10 4 2 2 2 3 2 3" xfId="12749" xr:uid="{00000000-0005-0000-0000-000015480000}"/>
    <cellStyle name="Normal 10 4 2 2 2 3 3" xfId="6130" xr:uid="{00000000-0005-0000-0000-000016480000}"/>
    <cellStyle name="Normal 10 4 2 2 2 3 3 2" xfId="14951" xr:uid="{00000000-0005-0000-0000-000017480000}"/>
    <cellStyle name="Normal 10 4 2 2 2 3 4" xfId="10544" xr:uid="{00000000-0005-0000-0000-000018480000}"/>
    <cellStyle name="Normal 10 4 2 2 2 4" xfId="3204" xr:uid="{00000000-0005-0000-0000-000019480000}"/>
    <cellStyle name="Normal 10 4 2 2 2 4 2" xfId="7598" xr:uid="{00000000-0005-0000-0000-00001A480000}"/>
    <cellStyle name="Normal 10 4 2 2 2 4 2 2" xfId="16419" xr:uid="{00000000-0005-0000-0000-00001B480000}"/>
    <cellStyle name="Normal 10 4 2 2 2 4 3" xfId="12012" xr:uid="{00000000-0005-0000-0000-00001C480000}"/>
    <cellStyle name="Normal 10 4 2 2 2 5" xfId="5393" xr:uid="{00000000-0005-0000-0000-00001D480000}"/>
    <cellStyle name="Normal 10 4 2 2 2 5 2" xfId="14214" xr:uid="{00000000-0005-0000-0000-00001E480000}"/>
    <cellStyle name="Normal 10 4 2 2 2 6" xfId="9807" xr:uid="{00000000-0005-0000-0000-00001F480000}"/>
    <cellStyle name="Normal 10 4 2 2 3" xfId="2219" xr:uid="{00000000-0005-0000-0000-000020480000}"/>
    <cellStyle name="Normal 10 4 2 2 3 2" xfId="4295" xr:uid="{00000000-0005-0000-0000-000021480000}"/>
    <cellStyle name="Normal 10 4 2 2 3 2 2" xfId="8704" xr:uid="{00000000-0005-0000-0000-000022480000}"/>
    <cellStyle name="Normal 10 4 2 2 3 2 2 2" xfId="17525" xr:uid="{00000000-0005-0000-0000-000023480000}"/>
    <cellStyle name="Normal 10 4 2 2 3 2 3" xfId="13118" xr:uid="{00000000-0005-0000-0000-000024480000}"/>
    <cellStyle name="Normal 10 4 2 2 3 3" xfId="6499" xr:uid="{00000000-0005-0000-0000-000025480000}"/>
    <cellStyle name="Normal 10 4 2 2 3 3 2" xfId="15320" xr:uid="{00000000-0005-0000-0000-000026480000}"/>
    <cellStyle name="Normal 10 4 2 2 3 4" xfId="10913" xr:uid="{00000000-0005-0000-0000-000027480000}"/>
    <cellStyle name="Normal 10 4 2 2 4" xfId="1629" xr:uid="{00000000-0005-0000-0000-000028480000}"/>
    <cellStyle name="Normal 10 4 2 2 4 2" xfId="3572" xr:uid="{00000000-0005-0000-0000-000029480000}"/>
    <cellStyle name="Normal 10 4 2 2 4 2 2" xfId="7966" xr:uid="{00000000-0005-0000-0000-00002A480000}"/>
    <cellStyle name="Normal 10 4 2 2 4 2 2 2" xfId="16787" xr:uid="{00000000-0005-0000-0000-00002B480000}"/>
    <cellStyle name="Normal 10 4 2 2 4 2 3" xfId="12380" xr:uid="{00000000-0005-0000-0000-00002C480000}"/>
    <cellStyle name="Normal 10 4 2 2 4 3" xfId="5761" xr:uid="{00000000-0005-0000-0000-00002D480000}"/>
    <cellStyle name="Normal 10 4 2 2 4 3 2" xfId="14582" xr:uid="{00000000-0005-0000-0000-00002E480000}"/>
    <cellStyle name="Normal 10 4 2 2 4 4" xfId="10175" xr:uid="{00000000-0005-0000-0000-00002F480000}"/>
    <cellStyle name="Normal 10 4 2 2 5" xfId="2835" xr:uid="{00000000-0005-0000-0000-000030480000}"/>
    <cellStyle name="Normal 10 4 2 2 5 2" xfId="7229" xr:uid="{00000000-0005-0000-0000-000031480000}"/>
    <cellStyle name="Normal 10 4 2 2 5 2 2" xfId="16050" xr:uid="{00000000-0005-0000-0000-000032480000}"/>
    <cellStyle name="Normal 10 4 2 2 5 3" xfId="11643" xr:uid="{00000000-0005-0000-0000-000033480000}"/>
    <cellStyle name="Normal 10 4 2 2 6" xfId="5024" xr:uid="{00000000-0005-0000-0000-000034480000}"/>
    <cellStyle name="Normal 10 4 2 2 6 2" xfId="13845" xr:uid="{00000000-0005-0000-0000-000035480000}"/>
    <cellStyle name="Normal 10 4 2 2 7" xfId="9438" xr:uid="{00000000-0005-0000-0000-000036480000}"/>
    <cellStyle name="Normal 10 4 2 3" xfId="1289" xr:uid="{00000000-0005-0000-0000-000037480000}"/>
    <cellStyle name="Normal 10 4 2 3 2" xfId="2349" xr:uid="{00000000-0005-0000-0000-000038480000}"/>
    <cellStyle name="Normal 10 4 2 3 2 2" xfId="4466" xr:uid="{00000000-0005-0000-0000-000039480000}"/>
    <cellStyle name="Normal 10 4 2 3 2 2 2" xfId="8888" xr:uid="{00000000-0005-0000-0000-00003A480000}"/>
    <cellStyle name="Normal 10 4 2 3 2 2 2 2" xfId="17709" xr:uid="{00000000-0005-0000-0000-00003B480000}"/>
    <cellStyle name="Normal 10 4 2 3 2 2 3" xfId="13302" xr:uid="{00000000-0005-0000-0000-00003C480000}"/>
    <cellStyle name="Normal 10 4 2 3 2 3" xfId="6683" xr:uid="{00000000-0005-0000-0000-00003D480000}"/>
    <cellStyle name="Normal 10 4 2 3 2 3 2" xfId="15504" xr:uid="{00000000-0005-0000-0000-00003E480000}"/>
    <cellStyle name="Normal 10 4 2 3 2 4" xfId="11097" xr:uid="{00000000-0005-0000-0000-00003F480000}"/>
    <cellStyle name="Normal 10 4 2 3 3" xfId="1800" xr:uid="{00000000-0005-0000-0000-000040480000}"/>
    <cellStyle name="Normal 10 4 2 3 3 2" xfId="3756" xr:uid="{00000000-0005-0000-0000-000041480000}"/>
    <cellStyle name="Normal 10 4 2 3 3 2 2" xfId="8150" xr:uid="{00000000-0005-0000-0000-000042480000}"/>
    <cellStyle name="Normal 10 4 2 3 3 2 2 2" xfId="16971" xr:uid="{00000000-0005-0000-0000-000043480000}"/>
    <cellStyle name="Normal 10 4 2 3 3 2 3" xfId="12564" xr:uid="{00000000-0005-0000-0000-000044480000}"/>
    <cellStyle name="Normal 10 4 2 3 3 3" xfId="5945" xr:uid="{00000000-0005-0000-0000-000045480000}"/>
    <cellStyle name="Normal 10 4 2 3 3 3 2" xfId="14766" xr:uid="{00000000-0005-0000-0000-000046480000}"/>
    <cellStyle name="Normal 10 4 2 3 3 4" xfId="10359" xr:uid="{00000000-0005-0000-0000-000047480000}"/>
    <cellStyle name="Normal 10 4 2 3 4" xfId="3019" xr:uid="{00000000-0005-0000-0000-000048480000}"/>
    <cellStyle name="Normal 10 4 2 3 4 2" xfId="7413" xr:uid="{00000000-0005-0000-0000-000049480000}"/>
    <cellStyle name="Normal 10 4 2 3 4 2 2" xfId="16234" xr:uid="{00000000-0005-0000-0000-00004A480000}"/>
    <cellStyle name="Normal 10 4 2 3 4 3" xfId="11827" xr:uid="{00000000-0005-0000-0000-00004B480000}"/>
    <cellStyle name="Normal 10 4 2 3 5" xfId="5208" xr:uid="{00000000-0005-0000-0000-00004C480000}"/>
    <cellStyle name="Normal 10 4 2 3 5 2" xfId="14029" xr:uid="{00000000-0005-0000-0000-00004D480000}"/>
    <cellStyle name="Normal 10 4 2 3 6" xfId="9622" xr:uid="{00000000-0005-0000-0000-00004E480000}"/>
    <cellStyle name="Normal 10 4 2 4" xfId="2088" xr:uid="{00000000-0005-0000-0000-00004F480000}"/>
    <cellStyle name="Normal 10 4 2 4 2" xfId="4111" xr:uid="{00000000-0005-0000-0000-000050480000}"/>
    <cellStyle name="Normal 10 4 2 4 2 2" xfId="8519" xr:uid="{00000000-0005-0000-0000-000051480000}"/>
    <cellStyle name="Normal 10 4 2 4 2 2 2" xfId="17340" xr:uid="{00000000-0005-0000-0000-000052480000}"/>
    <cellStyle name="Normal 10 4 2 4 2 3" xfId="12933" xr:uid="{00000000-0005-0000-0000-000053480000}"/>
    <cellStyle name="Normal 10 4 2 4 3" xfId="6314" xr:uid="{00000000-0005-0000-0000-000054480000}"/>
    <cellStyle name="Normal 10 4 2 4 3 2" xfId="15135" xr:uid="{00000000-0005-0000-0000-000055480000}"/>
    <cellStyle name="Normal 10 4 2 4 4" xfId="10728" xr:uid="{00000000-0005-0000-0000-000056480000}"/>
    <cellStyle name="Normal 10 4 2 5" xfId="1446" xr:uid="{00000000-0005-0000-0000-000057480000}"/>
    <cellStyle name="Normal 10 4 2 5 2" xfId="3387" xr:uid="{00000000-0005-0000-0000-000058480000}"/>
    <cellStyle name="Normal 10 4 2 5 2 2" xfId="7781" xr:uid="{00000000-0005-0000-0000-000059480000}"/>
    <cellStyle name="Normal 10 4 2 5 2 2 2" xfId="16602" xr:uid="{00000000-0005-0000-0000-00005A480000}"/>
    <cellStyle name="Normal 10 4 2 5 2 3" xfId="12195" xr:uid="{00000000-0005-0000-0000-00005B480000}"/>
    <cellStyle name="Normal 10 4 2 5 3" xfId="5576" xr:uid="{00000000-0005-0000-0000-00005C480000}"/>
    <cellStyle name="Normal 10 4 2 5 3 2" xfId="14397" xr:uid="{00000000-0005-0000-0000-00005D480000}"/>
    <cellStyle name="Normal 10 4 2 5 4" xfId="9990" xr:uid="{00000000-0005-0000-0000-00005E480000}"/>
    <cellStyle name="Normal 10 4 2 6" xfId="2651" xr:uid="{00000000-0005-0000-0000-00005F480000}"/>
    <cellStyle name="Normal 10 4 2 6 2" xfId="7044" xr:uid="{00000000-0005-0000-0000-000060480000}"/>
    <cellStyle name="Normal 10 4 2 6 2 2" xfId="15865" xr:uid="{00000000-0005-0000-0000-000061480000}"/>
    <cellStyle name="Normal 10 4 2 6 3" xfId="11458" xr:uid="{00000000-0005-0000-0000-000062480000}"/>
    <cellStyle name="Normal 10 4 2 7" xfId="4839" xr:uid="{00000000-0005-0000-0000-000063480000}"/>
    <cellStyle name="Normal 10 4 2 7 2" xfId="13660" xr:uid="{00000000-0005-0000-0000-000064480000}"/>
    <cellStyle name="Normal 10 4 2 8" xfId="9253" xr:uid="{00000000-0005-0000-0000-000065480000}"/>
    <cellStyle name="Normal 10 4 3" xfId="1221" xr:uid="{00000000-0005-0000-0000-000066480000}"/>
    <cellStyle name="Normal 10 4 3 2" xfId="1100" xr:uid="{00000000-0005-0000-0000-000067480000}"/>
    <cellStyle name="Normal 10 4 3 2 2" xfId="2415" xr:uid="{00000000-0005-0000-0000-000068480000}"/>
    <cellStyle name="Normal 10 4 3 2 2 2" xfId="4559" xr:uid="{00000000-0005-0000-0000-000069480000}"/>
    <cellStyle name="Normal 10 4 3 2 2 2 2" xfId="8981" xr:uid="{00000000-0005-0000-0000-00006A480000}"/>
    <cellStyle name="Normal 10 4 3 2 2 2 2 2" xfId="17802" xr:uid="{00000000-0005-0000-0000-00006B480000}"/>
    <cellStyle name="Normal 10 4 3 2 2 2 3" xfId="13395" xr:uid="{00000000-0005-0000-0000-00006C480000}"/>
    <cellStyle name="Normal 10 4 3 2 2 3" xfId="6776" xr:uid="{00000000-0005-0000-0000-00006D480000}"/>
    <cellStyle name="Normal 10 4 3 2 2 3 2" xfId="15597" xr:uid="{00000000-0005-0000-0000-00006E480000}"/>
    <cellStyle name="Normal 10 4 3 2 2 4" xfId="11190" xr:uid="{00000000-0005-0000-0000-00006F480000}"/>
    <cellStyle name="Normal 10 4 3 2 3" xfId="1893" xr:uid="{00000000-0005-0000-0000-000070480000}"/>
    <cellStyle name="Normal 10 4 3 2 3 2" xfId="3849" xr:uid="{00000000-0005-0000-0000-000071480000}"/>
    <cellStyle name="Normal 10 4 3 2 3 2 2" xfId="8243" xr:uid="{00000000-0005-0000-0000-000072480000}"/>
    <cellStyle name="Normal 10 4 3 2 3 2 2 2" xfId="17064" xr:uid="{00000000-0005-0000-0000-000073480000}"/>
    <cellStyle name="Normal 10 4 3 2 3 2 3" xfId="12657" xr:uid="{00000000-0005-0000-0000-000074480000}"/>
    <cellStyle name="Normal 10 4 3 2 3 3" xfId="6038" xr:uid="{00000000-0005-0000-0000-000075480000}"/>
    <cellStyle name="Normal 10 4 3 2 3 3 2" xfId="14859" xr:uid="{00000000-0005-0000-0000-000076480000}"/>
    <cellStyle name="Normal 10 4 3 2 3 4" xfId="10452" xr:uid="{00000000-0005-0000-0000-000077480000}"/>
    <cellStyle name="Normal 10 4 3 2 4" xfId="3112" xr:uid="{00000000-0005-0000-0000-000078480000}"/>
    <cellStyle name="Normal 10 4 3 2 4 2" xfId="7506" xr:uid="{00000000-0005-0000-0000-000079480000}"/>
    <cellStyle name="Normal 10 4 3 2 4 2 2" xfId="16327" xr:uid="{00000000-0005-0000-0000-00007A480000}"/>
    <cellStyle name="Normal 10 4 3 2 4 3" xfId="11920" xr:uid="{00000000-0005-0000-0000-00007B480000}"/>
    <cellStyle name="Normal 10 4 3 2 5" xfId="5301" xr:uid="{00000000-0005-0000-0000-00007C480000}"/>
    <cellStyle name="Normal 10 4 3 2 5 2" xfId="14122" xr:uid="{00000000-0005-0000-0000-00007D480000}"/>
    <cellStyle name="Normal 10 4 3 2 6" xfId="9715" xr:uid="{00000000-0005-0000-0000-00007E480000}"/>
    <cellStyle name="Normal 10 4 3 3" xfId="2154" xr:uid="{00000000-0005-0000-0000-00007F480000}"/>
    <cellStyle name="Normal 10 4 3 3 2" xfId="4204" xr:uid="{00000000-0005-0000-0000-000080480000}"/>
    <cellStyle name="Normal 10 4 3 3 2 2" xfId="8612" xr:uid="{00000000-0005-0000-0000-000081480000}"/>
    <cellStyle name="Normal 10 4 3 3 2 2 2" xfId="17433" xr:uid="{00000000-0005-0000-0000-000082480000}"/>
    <cellStyle name="Normal 10 4 3 3 2 3" xfId="13026" xr:uid="{00000000-0005-0000-0000-000083480000}"/>
    <cellStyle name="Normal 10 4 3 3 3" xfId="6407" xr:uid="{00000000-0005-0000-0000-000084480000}"/>
    <cellStyle name="Normal 10 4 3 3 3 2" xfId="15228" xr:uid="{00000000-0005-0000-0000-000085480000}"/>
    <cellStyle name="Normal 10 4 3 3 4" xfId="10821" xr:uid="{00000000-0005-0000-0000-000086480000}"/>
    <cellStyle name="Normal 10 4 3 4" xfId="1538" xr:uid="{00000000-0005-0000-0000-000087480000}"/>
    <cellStyle name="Normal 10 4 3 4 2" xfId="3480" xr:uid="{00000000-0005-0000-0000-000088480000}"/>
    <cellStyle name="Normal 10 4 3 4 2 2" xfId="7874" xr:uid="{00000000-0005-0000-0000-000089480000}"/>
    <cellStyle name="Normal 10 4 3 4 2 2 2" xfId="16695" xr:uid="{00000000-0005-0000-0000-00008A480000}"/>
    <cellStyle name="Normal 10 4 3 4 2 3" xfId="12288" xr:uid="{00000000-0005-0000-0000-00008B480000}"/>
    <cellStyle name="Normal 10 4 3 4 3" xfId="5669" xr:uid="{00000000-0005-0000-0000-00008C480000}"/>
    <cellStyle name="Normal 10 4 3 4 3 2" xfId="14490" xr:uid="{00000000-0005-0000-0000-00008D480000}"/>
    <cellStyle name="Normal 10 4 3 4 4" xfId="10083" xr:uid="{00000000-0005-0000-0000-00008E480000}"/>
    <cellStyle name="Normal 10 4 3 5" xfId="2744" xr:uid="{00000000-0005-0000-0000-00008F480000}"/>
    <cellStyle name="Normal 10 4 3 5 2" xfId="7137" xr:uid="{00000000-0005-0000-0000-000090480000}"/>
    <cellStyle name="Normal 10 4 3 5 2 2" xfId="15958" xr:uid="{00000000-0005-0000-0000-000091480000}"/>
    <cellStyle name="Normal 10 4 3 5 3" xfId="11551" xr:uid="{00000000-0005-0000-0000-000092480000}"/>
    <cellStyle name="Normal 10 4 3 6" xfId="4932" xr:uid="{00000000-0005-0000-0000-000093480000}"/>
    <cellStyle name="Normal 10 4 3 6 2" xfId="13753" xr:uid="{00000000-0005-0000-0000-000094480000}"/>
    <cellStyle name="Normal 10 4 3 7" xfId="9346" xr:uid="{00000000-0005-0000-0000-000095480000}"/>
    <cellStyle name="Normal 10 4 4" xfId="1244" xr:uid="{00000000-0005-0000-0000-000096480000}"/>
    <cellStyle name="Normal 10 4 4 2" xfId="2284" xr:uid="{00000000-0005-0000-0000-000097480000}"/>
    <cellStyle name="Normal 10 4 4 2 2" xfId="4375" xr:uid="{00000000-0005-0000-0000-000098480000}"/>
    <cellStyle name="Normal 10 4 4 2 2 2" xfId="8796" xr:uid="{00000000-0005-0000-0000-000099480000}"/>
    <cellStyle name="Normal 10 4 4 2 2 2 2" xfId="17617" xr:uid="{00000000-0005-0000-0000-00009A480000}"/>
    <cellStyle name="Normal 10 4 4 2 2 3" xfId="13210" xr:uid="{00000000-0005-0000-0000-00009B480000}"/>
    <cellStyle name="Normal 10 4 4 2 3" xfId="6591" xr:uid="{00000000-0005-0000-0000-00009C480000}"/>
    <cellStyle name="Normal 10 4 4 2 3 2" xfId="15412" xr:uid="{00000000-0005-0000-0000-00009D480000}"/>
    <cellStyle name="Normal 10 4 4 2 4" xfId="11005" xr:uid="{00000000-0005-0000-0000-00009E480000}"/>
    <cellStyle name="Normal 10 4 4 3" xfId="1709" xr:uid="{00000000-0005-0000-0000-00009F480000}"/>
    <cellStyle name="Normal 10 4 4 3 2" xfId="3664" xr:uid="{00000000-0005-0000-0000-0000A0480000}"/>
    <cellStyle name="Normal 10 4 4 3 2 2" xfId="8058" xr:uid="{00000000-0005-0000-0000-0000A1480000}"/>
    <cellStyle name="Normal 10 4 4 3 2 2 2" xfId="16879" xr:uid="{00000000-0005-0000-0000-0000A2480000}"/>
    <cellStyle name="Normal 10 4 4 3 2 3" xfId="12472" xr:uid="{00000000-0005-0000-0000-0000A3480000}"/>
    <cellStyle name="Normal 10 4 4 3 3" xfId="5853" xr:uid="{00000000-0005-0000-0000-0000A4480000}"/>
    <cellStyle name="Normal 10 4 4 3 3 2" xfId="14674" xr:uid="{00000000-0005-0000-0000-0000A5480000}"/>
    <cellStyle name="Normal 10 4 4 3 4" xfId="10267" xr:uid="{00000000-0005-0000-0000-0000A6480000}"/>
    <cellStyle name="Normal 10 4 4 4" xfId="2927" xr:uid="{00000000-0005-0000-0000-0000A7480000}"/>
    <cellStyle name="Normal 10 4 4 4 2" xfId="7321" xr:uid="{00000000-0005-0000-0000-0000A8480000}"/>
    <cellStyle name="Normal 10 4 4 4 2 2" xfId="16142" xr:uid="{00000000-0005-0000-0000-0000A9480000}"/>
    <cellStyle name="Normal 10 4 4 4 3" xfId="11735" xr:uid="{00000000-0005-0000-0000-0000AA480000}"/>
    <cellStyle name="Normal 10 4 4 5" xfId="5116" xr:uid="{00000000-0005-0000-0000-0000AB480000}"/>
    <cellStyle name="Normal 10 4 4 5 2" xfId="13937" xr:uid="{00000000-0005-0000-0000-0000AC480000}"/>
    <cellStyle name="Normal 10 4 4 6" xfId="9530" xr:uid="{00000000-0005-0000-0000-0000AD480000}"/>
    <cellStyle name="Normal 10 4 5" xfId="2049" xr:uid="{00000000-0005-0000-0000-0000AE480000}"/>
    <cellStyle name="Normal 10 4 5 2" xfId="4020" xr:uid="{00000000-0005-0000-0000-0000AF480000}"/>
    <cellStyle name="Normal 10 4 5 2 2" xfId="8427" xr:uid="{00000000-0005-0000-0000-0000B0480000}"/>
    <cellStyle name="Normal 10 4 5 2 2 2" xfId="17248" xr:uid="{00000000-0005-0000-0000-0000B1480000}"/>
    <cellStyle name="Normal 10 4 5 2 3" xfId="12841" xr:uid="{00000000-0005-0000-0000-0000B2480000}"/>
    <cellStyle name="Normal 10 4 5 3" xfId="6222" xr:uid="{00000000-0005-0000-0000-0000B3480000}"/>
    <cellStyle name="Normal 10 4 5 3 2" xfId="15043" xr:uid="{00000000-0005-0000-0000-0000B4480000}"/>
    <cellStyle name="Normal 10 4 5 4" xfId="10636" xr:uid="{00000000-0005-0000-0000-0000B5480000}"/>
    <cellStyle name="Normal 10 4 6" xfId="1381" xr:uid="{00000000-0005-0000-0000-0000B6480000}"/>
    <cellStyle name="Normal 10 4 6 2" xfId="3295" xr:uid="{00000000-0005-0000-0000-0000B7480000}"/>
    <cellStyle name="Normal 10 4 6 2 2" xfId="7689" xr:uid="{00000000-0005-0000-0000-0000B8480000}"/>
    <cellStyle name="Normal 10 4 6 2 2 2" xfId="16510" xr:uid="{00000000-0005-0000-0000-0000B9480000}"/>
    <cellStyle name="Normal 10 4 6 2 3" xfId="12103" xr:uid="{00000000-0005-0000-0000-0000BA480000}"/>
    <cellStyle name="Normal 10 4 6 3" xfId="5484" xr:uid="{00000000-0005-0000-0000-0000BB480000}"/>
    <cellStyle name="Normal 10 4 6 3 2" xfId="14305" xr:uid="{00000000-0005-0000-0000-0000BC480000}"/>
    <cellStyle name="Normal 10 4 6 4" xfId="9898" xr:uid="{00000000-0005-0000-0000-0000BD480000}"/>
    <cellStyle name="Normal 10 4 7" xfId="2560" xr:uid="{00000000-0005-0000-0000-0000BE480000}"/>
    <cellStyle name="Normal 10 4 7 2" xfId="6952" xr:uid="{00000000-0005-0000-0000-0000BF480000}"/>
    <cellStyle name="Normal 10 4 7 2 2" xfId="15773" xr:uid="{00000000-0005-0000-0000-0000C0480000}"/>
    <cellStyle name="Normal 10 4 7 3" xfId="11366" xr:uid="{00000000-0005-0000-0000-0000C1480000}"/>
    <cellStyle name="Normal 10 4 8" xfId="4747" xr:uid="{00000000-0005-0000-0000-0000C2480000}"/>
    <cellStyle name="Normal 10 4 8 2" xfId="13568" xr:uid="{00000000-0005-0000-0000-0000C3480000}"/>
    <cellStyle name="Normal 10 4 9" xfId="9161" xr:uid="{00000000-0005-0000-0000-0000C4480000}"/>
    <cellStyle name="Normal 10 5" xfId="1060" xr:uid="{00000000-0005-0000-0000-0000C5480000}"/>
    <cellStyle name="Normal 10 5 10" xfId="29252" xr:uid="{00000000-0005-0000-0000-0000C6480000}"/>
    <cellStyle name="Normal 10 5 2" xfId="1216" xr:uid="{00000000-0005-0000-0000-0000C7480000}"/>
    <cellStyle name="Normal 10 5 2 2" xfId="1099" xr:uid="{00000000-0005-0000-0000-0000C8480000}"/>
    <cellStyle name="Normal 10 5 2 2 2" xfId="2462" xr:uid="{00000000-0005-0000-0000-0000C9480000}"/>
    <cellStyle name="Normal 10 5 2 2 2 2" xfId="4618" xr:uid="{00000000-0005-0000-0000-0000CA480000}"/>
    <cellStyle name="Normal 10 5 2 2 2 2 2" xfId="9041" xr:uid="{00000000-0005-0000-0000-0000CB480000}"/>
    <cellStyle name="Normal 10 5 2 2 2 2 2 2" xfId="17862" xr:uid="{00000000-0005-0000-0000-0000CC480000}"/>
    <cellStyle name="Normal 10 5 2 2 2 2 3" xfId="13455" xr:uid="{00000000-0005-0000-0000-0000CD480000}"/>
    <cellStyle name="Normal 10 5 2 2 2 3" xfId="6836" xr:uid="{00000000-0005-0000-0000-0000CE480000}"/>
    <cellStyle name="Normal 10 5 2 2 2 3 2" xfId="15657" xr:uid="{00000000-0005-0000-0000-0000CF480000}"/>
    <cellStyle name="Normal 10 5 2 2 2 4" xfId="11250" xr:uid="{00000000-0005-0000-0000-0000D0480000}"/>
    <cellStyle name="Normal 10 5 2 2 3" xfId="1952" xr:uid="{00000000-0005-0000-0000-0000D1480000}"/>
    <cellStyle name="Normal 10 5 2 2 3 2" xfId="3909" xr:uid="{00000000-0005-0000-0000-0000D2480000}"/>
    <cellStyle name="Normal 10 5 2 2 3 2 2" xfId="8303" xr:uid="{00000000-0005-0000-0000-0000D3480000}"/>
    <cellStyle name="Normal 10 5 2 2 3 2 2 2" xfId="17124" xr:uid="{00000000-0005-0000-0000-0000D4480000}"/>
    <cellStyle name="Normal 10 5 2 2 3 2 3" xfId="12717" xr:uid="{00000000-0005-0000-0000-0000D5480000}"/>
    <cellStyle name="Normal 10 5 2 2 3 3" xfId="6098" xr:uid="{00000000-0005-0000-0000-0000D6480000}"/>
    <cellStyle name="Normal 10 5 2 2 3 3 2" xfId="14919" xr:uid="{00000000-0005-0000-0000-0000D7480000}"/>
    <cellStyle name="Normal 10 5 2 2 3 4" xfId="10512" xr:uid="{00000000-0005-0000-0000-0000D8480000}"/>
    <cellStyle name="Normal 10 5 2 2 4" xfId="3172" xr:uid="{00000000-0005-0000-0000-0000D9480000}"/>
    <cellStyle name="Normal 10 5 2 2 4 2" xfId="7566" xr:uid="{00000000-0005-0000-0000-0000DA480000}"/>
    <cellStyle name="Normal 10 5 2 2 4 2 2" xfId="16387" xr:uid="{00000000-0005-0000-0000-0000DB480000}"/>
    <cellStyle name="Normal 10 5 2 2 4 3" xfId="11980" xr:uid="{00000000-0005-0000-0000-0000DC480000}"/>
    <cellStyle name="Normal 10 5 2 2 5" xfId="5361" xr:uid="{00000000-0005-0000-0000-0000DD480000}"/>
    <cellStyle name="Normal 10 5 2 2 5 2" xfId="14182" xr:uid="{00000000-0005-0000-0000-0000DE480000}"/>
    <cellStyle name="Normal 10 5 2 2 6" xfId="9775" xr:uid="{00000000-0005-0000-0000-0000DF480000}"/>
    <cellStyle name="Normal 10 5 2 3" xfId="2201" xr:uid="{00000000-0005-0000-0000-0000E0480000}"/>
    <cellStyle name="Normal 10 5 2 3 2" xfId="4263" xr:uid="{00000000-0005-0000-0000-0000E1480000}"/>
    <cellStyle name="Normal 10 5 2 3 2 2" xfId="8672" xr:uid="{00000000-0005-0000-0000-0000E2480000}"/>
    <cellStyle name="Normal 10 5 2 3 2 2 2" xfId="17493" xr:uid="{00000000-0005-0000-0000-0000E3480000}"/>
    <cellStyle name="Normal 10 5 2 3 2 3" xfId="13086" xr:uid="{00000000-0005-0000-0000-0000E4480000}"/>
    <cellStyle name="Normal 10 5 2 3 3" xfId="6467" xr:uid="{00000000-0005-0000-0000-0000E5480000}"/>
    <cellStyle name="Normal 10 5 2 3 3 2" xfId="15288" xr:uid="{00000000-0005-0000-0000-0000E6480000}"/>
    <cellStyle name="Normal 10 5 2 3 4" xfId="10881" xr:uid="{00000000-0005-0000-0000-0000E7480000}"/>
    <cellStyle name="Normal 10 5 2 4" xfId="1597" xr:uid="{00000000-0005-0000-0000-0000E8480000}"/>
    <cellStyle name="Normal 10 5 2 4 2" xfId="3540" xr:uid="{00000000-0005-0000-0000-0000E9480000}"/>
    <cellStyle name="Normal 10 5 2 4 2 2" xfId="7934" xr:uid="{00000000-0005-0000-0000-0000EA480000}"/>
    <cellStyle name="Normal 10 5 2 4 2 2 2" xfId="16755" xr:uid="{00000000-0005-0000-0000-0000EB480000}"/>
    <cellStyle name="Normal 10 5 2 4 2 3" xfId="12348" xr:uid="{00000000-0005-0000-0000-0000EC480000}"/>
    <cellStyle name="Normal 10 5 2 4 3" xfId="5729" xr:uid="{00000000-0005-0000-0000-0000ED480000}"/>
    <cellStyle name="Normal 10 5 2 4 3 2" xfId="14550" xr:uid="{00000000-0005-0000-0000-0000EE480000}"/>
    <cellStyle name="Normal 10 5 2 4 4" xfId="10143" xr:uid="{00000000-0005-0000-0000-0000EF480000}"/>
    <cellStyle name="Normal 10 5 2 5" xfId="2803" xr:uid="{00000000-0005-0000-0000-0000F0480000}"/>
    <cellStyle name="Normal 10 5 2 5 2" xfId="7197" xr:uid="{00000000-0005-0000-0000-0000F1480000}"/>
    <cellStyle name="Normal 10 5 2 5 2 2" xfId="16018" xr:uid="{00000000-0005-0000-0000-0000F2480000}"/>
    <cellStyle name="Normal 10 5 2 5 3" xfId="11611" xr:uid="{00000000-0005-0000-0000-0000F3480000}"/>
    <cellStyle name="Normal 10 5 2 6" xfId="4992" xr:uid="{00000000-0005-0000-0000-0000F4480000}"/>
    <cellStyle name="Normal 10 5 2 6 2" xfId="13813" xr:uid="{00000000-0005-0000-0000-0000F5480000}"/>
    <cellStyle name="Normal 10 5 2 7" xfId="9406" xr:uid="{00000000-0005-0000-0000-0000F6480000}"/>
    <cellStyle name="Normal 10 5 3" xfId="1243" xr:uid="{00000000-0005-0000-0000-0000F7480000}"/>
    <cellStyle name="Normal 10 5 3 2" xfId="2331" xr:uid="{00000000-0005-0000-0000-0000F8480000}"/>
    <cellStyle name="Normal 10 5 3 2 2" xfId="4434" xr:uid="{00000000-0005-0000-0000-0000F9480000}"/>
    <cellStyle name="Normal 10 5 3 2 2 2" xfId="8856" xr:uid="{00000000-0005-0000-0000-0000FA480000}"/>
    <cellStyle name="Normal 10 5 3 2 2 2 2" xfId="17677" xr:uid="{00000000-0005-0000-0000-0000FB480000}"/>
    <cellStyle name="Normal 10 5 3 2 2 3" xfId="13270" xr:uid="{00000000-0005-0000-0000-0000FC480000}"/>
    <cellStyle name="Normal 10 5 3 2 3" xfId="6651" xr:uid="{00000000-0005-0000-0000-0000FD480000}"/>
    <cellStyle name="Normal 10 5 3 2 3 2" xfId="15472" xr:uid="{00000000-0005-0000-0000-0000FE480000}"/>
    <cellStyle name="Normal 10 5 3 2 4" xfId="11065" xr:uid="{00000000-0005-0000-0000-0000FF480000}"/>
    <cellStyle name="Normal 10 5 3 3" xfId="1768" xr:uid="{00000000-0005-0000-0000-000000490000}"/>
    <cellStyle name="Normal 10 5 3 3 2" xfId="3724" xr:uid="{00000000-0005-0000-0000-000001490000}"/>
    <cellStyle name="Normal 10 5 3 3 2 2" xfId="8118" xr:uid="{00000000-0005-0000-0000-000002490000}"/>
    <cellStyle name="Normal 10 5 3 3 2 2 2" xfId="16939" xr:uid="{00000000-0005-0000-0000-000003490000}"/>
    <cellStyle name="Normal 10 5 3 3 2 3" xfId="12532" xr:uid="{00000000-0005-0000-0000-000004490000}"/>
    <cellStyle name="Normal 10 5 3 3 3" xfId="5913" xr:uid="{00000000-0005-0000-0000-000005490000}"/>
    <cellStyle name="Normal 10 5 3 3 3 2" xfId="14734" xr:uid="{00000000-0005-0000-0000-000006490000}"/>
    <cellStyle name="Normal 10 5 3 3 4" xfId="10327" xr:uid="{00000000-0005-0000-0000-000007490000}"/>
    <cellStyle name="Normal 10 5 3 4" xfId="2987" xr:uid="{00000000-0005-0000-0000-000008490000}"/>
    <cellStyle name="Normal 10 5 3 4 2" xfId="7381" xr:uid="{00000000-0005-0000-0000-000009490000}"/>
    <cellStyle name="Normal 10 5 3 4 2 2" xfId="16202" xr:uid="{00000000-0005-0000-0000-00000A490000}"/>
    <cellStyle name="Normal 10 5 3 4 3" xfId="11795" xr:uid="{00000000-0005-0000-0000-00000B490000}"/>
    <cellStyle name="Normal 10 5 3 5" xfId="5176" xr:uid="{00000000-0005-0000-0000-00000C490000}"/>
    <cellStyle name="Normal 10 5 3 5 2" xfId="13997" xr:uid="{00000000-0005-0000-0000-00000D490000}"/>
    <cellStyle name="Normal 10 5 3 6" xfId="9590" xr:uid="{00000000-0005-0000-0000-00000E490000}"/>
    <cellStyle name="Normal 10 5 4" xfId="2070" xr:uid="{00000000-0005-0000-0000-00000F490000}"/>
    <cellStyle name="Normal 10 5 4 2" xfId="4079" xr:uid="{00000000-0005-0000-0000-000010490000}"/>
    <cellStyle name="Normal 10 5 4 2 2" xfId="8487" xr:uid="{00000000-0005-0000-0000-000011490000}"/>
    <cellStyle name="Normal 10 5 4 2 2 2" xfId="17308" xr:uid="{00000000-0005-0000-0000-000012490000}"/>
    <cellStyle name="Normal 10 5 4 2 3" xfId="12901" xr:uid="{00000000-0005-0000-0000-000013490000}"/>
    <cellStyle name="Normal 10 5 4 3" xfId="6282" xr:uid="{00000000-0005-0000-0000-000014490000}"/>
    <cellStyle name="Normal 10 5 4 3 2" xfId="15103" xr:uid="{00000000-0005-0000-0000-000015490000}"/>
    <cellStyle name="Normal 10 5 4 4" xfId="10696" xr:uid="{00000000-0005-0000-0000-000016490000}"/>
    <cellStyle name="Normal 10 5 5" xfId="1428" xr:uid="{00000000-0005-0000-0000-000017490000}"/>
    <cellStyle name="Normal 10 5 5 2" xfId="3355" xr:uid="{00000000-0005-0000-0000-000018490000}"/>
    <cellStyle name="Normal 10 5 5 2 2" xfId="7749" xr:uid="{00000000-0005-0000-0000-000019490000}"/>
    <cellStyle name="Normal 10 5 5 2 2 2" xfId="16570" xr:uid="{00000000-0005-0000-0000-00001A490000}"/>
    <cellStyle name="Normal 10 5 5 2 3" xfId="12163" xr:uid="{00000000-0005-0000-0000-00001B490000}"/>
    <cellStyle name="Normal 10 5 5 3" xfId="5544" xr:uid="{00000000-0005-0000-0000-00001C490000}"/>
    <cellStyle name="Normal 10 5 5 3 2" xfId="14365" xr:uid="{00000000-0005-0000-0000-00001D490000}"/>
    <cellStyle name="Normal 10 5 5 4" xfId="9958" xr:uid="{00000000-0005-0000-0000-00001E490000}"/>
    <cellStyle name="Normal 10 5 6" xfId="2619" xr:uid="{00000000-0005-0000-0000-00001F490000}"/>
    <cellStyle name="Normal 10 5 6 2" xfId="7012" xr:uid="{00000000-0005-0000-0000-000020490000}"/>
    <cellStyle name="Normal 10 5 6 2 2" xfId="15833" xr:uid="{00000000-0005-0000-0000-000021490000}"/>
    <cellStyle name="Normal 10 5 6 3" xfId="11426" xr:uid="{00000000-0005-0000-0000-000022490000}"/>
    <cellStyle name="Normal 10 5 7" xfId="4807" xr:uid="{00000000-0005-0000-0000-000023490000}"/>
    <cellStyle name="Normal 10 5 7 2" xfId="13628" xr:uid="{00000000-0005-0000-0000-000024490000}"/>
    <cellStyle name="Normal 10 5 8" xfId="9221" xr:uid="{00000000-0005-0000-0000-000025490000}"/>
    <cellStyle name="Normal 10 5 9" xfId="28331" xr:uid="{00000000-0005-0000-0000-000026490000}"/>
    <cellStyle name="Normal 10 6" xfId="1223" xr:uid="{00000000-0005-0000-0000-000027490000}"/>
    <cellStyle name="Normal 10 6 2" xfId="1288" xr:uid="{00000000-0005-0000-0000-000028490000}"/>
    <cellStyle name="Normal 10 6 2 2" xfId="2396" xr:uid="{00000000-0005-0000-0000-000029490000}"/>
    <cellStyle name="Normal 10 6 2 2 2" xfId="4526" xr:uid="{00000000-0005-0000-0000-00002A490000}"/>
    <cellStyle name="Normal 10 6 2 2 2 2" xfId="8948" xr:uid="{00000000-0005-0000-0000-00002B490000}"/>
    <cellStyle name="Normal 10 6 2 2 2 2 2" xfId="17769" xr:uid="{00000000-0005-0000-0000-00002C490000}"/>
    <cellStyle name="Normal 10 6 2 2 2 3" xfId="13362" xr:uid="{00000000-0005-0000-0000-00002D490000}"/>
    <cellStyle name="Normal 10 6 2 2 3" xfId="6743" xr:uid="{00000000-0005-0000-0000-00002E490000}"/>
    <cellStyle name="Normal 10 6 2 2 3 2" xfId="15564" xr:uid="{00000000-0005-0000-0000-00002F490000}"/>
    <cellStyle name="Normal 10 6 2 2 4" xfId="11157" xr:uid="{00000000-0005-0000-0000-000030490000}"/>
    <cellStyle name="Normal 10 6 2 3" xfId="1860" xr:uid="{00000000-0005-0000-0000-000031490000}"/>
    <cellStyle name="Normal 10 6 2 3 2" xfId="3816" xr:uid="{00000000-0005-0000-0000-000032490000}"/>
    <cellStyle name="Normal 10 6 2 3 2 2" xfId="8210" xr:uid="{00000000-0005-0000-0000-000033490000}"/>
    <cellStyle name="Normal 10 6 2 3 2 2 2" xfId="17031" xr:uid="{00000000-0005-0000-0000-000034490000}"/>
    <cellStyle name="Normal 10 6 2 3 2 3" xfId="12624" xr:uid="{00000000-0005-0000-0000-000035490000}"/>
    <cellStyle name="Normal 10 6 2 3 3" xfId="6005" xr:uid="{00000000-0005-0000-0000-000036490000}"/>
    <cellStyle name="Normal 10 6 2 3 3 2" xfId="14826" xr:uid="{00000000-0005-0000-0000-000037490000}"/>
    <cellStyle name="Normal 10 6 2 3 4" xfId="10419" xr:uid="{00000000-0005-0000-0000-000038490000}"/>
    <cellStyle name="Normal 10 6 2 4" xfId="3079" xr:uid="{00000000-0005-0000-0000-000039490000}"/>
    <cellStyle name="Normal 10 6 2 4 2" xfId="7473" xr:uid="{00000000-0005-0000-0000-00003A490000}"/>
    <cellStyle name="Normal 10 6 2 4 2 2" xfId="16294" xr:uid="{00000000-0005-0000-0000-00003B490000}"/>
    <cellStyle name="Normal 10 6 2 4 3" xfId="11887" xr:uid="{00000000-0005-0000-0000-00003C490000}"/>
    <cellStyle name="Normal 10 6 2 5" xfId="5268" xr:uid="{00000000-0005-0000-0000-00003D490000}"/>
    <cellStyle name="Normal 10 6 2 5 2" xfId="14089" xr:uid="{00000000-0005-0000-0000-00003E490000}"/>
    <cellStyle name="Normal 10 6 2 6" xfId="9682" xr:uid="{00000000-0005-0000-0000-00003F490000}"/>
    <cellStyle name="Normal 10 6 3" xfId="2135" xr:uid="{00000000-0005-0000-0000-000040490000}"/>
    <cellStyle name="Normal 10 6 3 2" xfId="4171" xr:uid="{00000000-0005-0000-0000-000041490000}"/>
    <cellStyle name="Normal 10 6 3 2 2" xfId="8579" xr:uid="{00000000-0005-0000-0000-000042490000}"/>
    <cellStyle name="Normal 10 6 3 2 2 2" xfId="17400" xr:uid="{00000000-0005-0000-0000-000043490000}"/>
    <cellStyle name="Normal 10 6 3 2 3" xfId="12993" xr:uid="{00000000-0005-0000-0000-000044490000}"/>
    <cellStyle name="Normal 10 6 3 3" xfId="6374" xr:uid="{00000000-0005-0000-0000-000045490000}"/>
    <cellStyle name="Normal 10 6 3 3 2" xfId="15195" xr:uid="{00000000-0005-0000-0000-000046490000}"/>
    <cellStyle name="Normal 10 6 3 4" xfId="10788" xr:uid="{00000000-0005-0000-0000-000047490000}"/>
    <cellStyle name="Normal 10 6 4" xfId="1505" xr:uid="{00000000-0005-0000-0000-000048490000}"/>
    <cellStyle name="Normal 10 6 4 2" xfId="3447" xr:uid="{00000000-0005-0000-0000-000049490000}"/>
    <cellStyle name="Normal 10 6 4 2 2" xfId="7841" xr:uid="{00000000-0005-0000-0000-00004A490000}"/>
    <cellStyle name="Normal 10 6 4 2 2 2" xfId="16662" xr:uid="{00000000-0005-0000-0000-00004B490000}"/>
    <cellStyle name="Normal 10 6 4 2 3" xfId="12255" xr:uid="{00000000-0005-0000-0000-00004C490000}"/>
    <cellStyle name="Normal 10 6 4 3" xfId="5636" xr:uid="{00000000-0005-0000-0000-00004D490000}"/>
    <cellStyle name="Normal 10 6 4 3 2" xfId="14457" xr:uid="{00000000-0005-0000-0000-00004E490000}"/>
    <cellStyle name="Normal 10 6 4 4" xfId="10050" xr:uid="{00000000-0005-0000-0000-00004F490000}"/>
    <cellStyle name="Normal 10 6 5" xfId="2711" xr:uid="{00000000-0005-0000-0000-000050490000}"/>
    <cellStyle name="Normal 10 6 5 2" xfId="7104" xr:uid="{00000000-0005-0000-0000-000051490000}"/>
    <cellStyle name="Normal 10 6 5 2 2" xfId="15925" xr:uid="{00000000-0005-0000-0000-000052490000}"/>
    <cellStyle name="Normal 10 6 5 3" xfId="11518" xr:uid="{00000000-0005-0000-0000-000053490000}"/>
    <cellStyle name="Normal 10 6 6" xfId="4899" xr:uid="{00000000-0005-0000-0000-000054490000}"/>
    <cellStyle name="Normal 10 6 6 2" xfId="13720" xr:uid="{00000000-0005-0000-0000-000055490000}"/>
    <cellStyle name="Normal 10 6 7" xfId="9313" xr:uid="{00000000-0005-0000-0000-000056490000}"/>
    <cellStyle name="Normal 10 7" xfId="1237" xr:uid="{00000000-0005-0000-0000-000057490000}"/>
    <cellStyle name="Normal 10 7 2" xfId="2264" xr:uid="{00000000-0005-0000-0000-000058490000}"/>
    <cellStyle name="Normal 10 7 2 2" xfId="4342" xr:uid="{00000000-0005-0000-0000-000059490000}"/>
    <cellStyle name="Normal 10 7 2 2 2" xfId="8763" xr:uid="{00000000-0005-0000-0000-00005A490000}"/>
    <cellStyle name="Normal 10 7 2 2 2 2" xfId="17584" xr:uid="{00000000-0005-0000-0000-00005B490000}"/>
    <cellStyle name="Normal 10 7 2 2 3" xfId="13177" xr:uid="{00000000-0005-0000-0000-00005C490000}"/>
    <cellStyle name="Normal 10 7 2 3" xfId="6558" xr:uid="{00000000-0005-0000-0000-00005D490000}"/>
    <cellStyle name="Normal 10 7 2 3 2" xfId="15379" xr:uid="{00000000-0005-0000-0000-00005E490000}"/>
    <cellStyle name="Normal 10 7 2 4" xfId="10972" xr:uid="{00000000-0005-0000-0000-00005F490000}"/>
    <cellStyle name="Normal 10 7 3" xfId="1676" xr:uid="{00000000-0005-0000-0000-000060490000}"/>
    <cellStyle name="Normal 10 7 3 2" xfId="3631" xr:uid="{00000000-0005-0000-0000-000061490000}"/>
    <cellStyle name="Normal 10 7 3 2 2" xfId="8025" xr:uid="{00000000-0005-0000-0000-000062490000}"/>
    <cellStyle name="Normal 10 7 3 2 2 2" xfId="16846" xr:uid="{00000000-0005-0000-0000-000063490000}"/>
    <cellStyle name="Normal 10 7 3 2 3" xfId="12439" xr:uid="{00000000-0005-0000-0000-000064490000}"/>
    <cellStyle name="Normal 10 7 3 3" xfId="5820" xr:uid="{00000000-0005-0000-0000-000065490000}"/>
    <cellStyle name="Normal 10 7 3 3 2" xfId="14641" xr:uid="{00000000-0005-0000-0000-000066490000}"/>
    <cellStyle name="Normal 10 7 3 4" xfId="10234" xr:uid="{00000000-0005-0000-0000-000067490000}"/>
    <cellStyle name="Normal 10 7 4" xfId="2894" xr:uid="{00000000-0005-0000-0000-000068490000}"/>
    <cellStyle name="Normal 10 7 4 2" xfId="7288" xr:uid="{00000000-0005-0000-0000-000069490000}"/>
    <cellStyle name="Normal 10 7 4 2 2" xfId="16109" xr:uid="{00000000-0005-0000-0000-00006A490000}"/>
    <cellStyle name="Normal 10 7 4 3" xfId="11702" xr:uid="{00000000-0005-0000-0000-00006B490000}"/>
    <cellStyle name="Normal 10 7 5" xfId="5083" xr:uid="{00000000-0005-0000-0000-00006C490000}"/>
    <cellStyle name="Normal 10 7 5 2" xfId="13904" xr:uid="{00000000-0005-0000-0000-00006D490000}"/>
    <cellStyle name="Normal 10 7 6" xfId="9497" xr:uid="{00000000-0005-0000-0000-00006E490000}"/>
    <cellStyle name="Normal 10 8" xfId="2030" xr:uid="{00000000-0005-0000-0000-00006F490000}"/>
    <cellStyle name="Normal 10 8 2" xfId="3988" xr:uid="{00000000-0005-0000-0000-000070490000}"/>
    <cellStyle name="Normal 10 8 2 2" xfId="8394" xr:uid="{00000000-0005-0000-0000-000071490000}"/>
    <cellStyle name="Normal 10 8 2 2 2" xfId="17215" xr:uid="{00000000-0005-0000-0000-000072490000}"/>
    <cellStyle name="Normal 10 8 2 3" xfId="12808" xr:uid="{00000000-0005-0000-0000-000073490000}"/>
    <cellStyle name="Normal 10 8 3" xfId="6189" xr:uid="{00000000-0005-0000-0000-000074490000}"/>
    <cellStyle name="Normal 10 8 3 2" xfId="15010" xr:uid="{00000000-0005-0000-0000-000075490000}"/>
    <cellStyle name="Normal 10 8 4" xfId="10603" xr:uid="{00000000-0005-0000-0000-000076490000}"/>
    <cellStyle name="Normal 10 9" xfId="1350" xr:uid="{00000000-0005-0000-0000-000077490000}"/>
    <cellStyle name="Normal 10 9 2" xfId="3250" xr:uid="{00000000-0005-0000-0000-000078490000}"/>
    <cellStyle name="Normal 10 9 2 2" xfId="7644" xr:uid="{00000000-0005-0000-0000-000079490000}"/>
    <cellStyle name="Normal 10 9 2 2 2" xfId="16465" xr:uid="{00000000-0005-0000-0000-00007A490000}"/>
    <cellStyle name="Normal 10 9 2 3" xfId="12058" xr:uid="{00000000-0005-0000-0000-00007B490000}"/>
    <cellStyle name="Normal 10 9 3" xfId="5439" xr:uid="{00000000-0005-0000-0000-00007C490000}"/>
    <cellStyle name="Normal 10 9 3 2" xfId="14260" xr:uid="{00000000-0005-0000-0000-00007D490000}"/>
    <cellStyle name="Normal 10 9 4" xfId="9853" xr:uid="{00000000-0005-0000-0000-00007E490000}"/>
    <cellStyle name="Normal 100" xfId="20572" xr:uid="{00000000-0005-0000-0000-00007F490000}"/>
    <cellStyle name="Normal 101" xfId="21249" xr:uid="{00000000-0005-0000-0000-000080490000}"/>
    <cellStyle name="Normal 102" xfId="21885" xr:uid="{00000000-0005-0000-0000-000081490000}"/>
    <cellStyle name="Normal 103" xfId="22216" xr:uid="{00000000-0005-0000-0000-000082490000}"/>
    <cellStyle name="Normal 104" xfId="22607" xr:uid="{00000000-0005-0000-0000-000083490000}"/>
    <cellStyle name="Normal 105" xfId="20547" xr:uid="{00000000-0005-0000-0000-000084490000}"/>
    <cellStyle name="Normal 106" xfId="23984" xr:uid="{00000000-0005-0000-0000-000085490000}"/>
    <cellStyle name="Normal 107" xfId="26659" xr:uid="{00000000-0005-0000-0000-000086490000}"/>
    <cellStyle name="Normal 108" xfId="26658" xr:uid="{00000000-0005-0000-0000-000087490000}"/>
    <cellStyle name="Normal 109" xfId="26666" xr:uid="{00000000-0005-0000-0000-000088490000}"/>
    <cellStyle name="Normal 11" xfId="59" xr:uid="{00000000-0005-0000-0000-000089490000}"/>
    <cellStyle name="Normal 11 2" xfId="60" xr:uid="{00000000-0005-0000-0000-00008A490000}"/>
    <cellStyle name="Normal 11 2 2" xfId="27335" xr:uid="{00000000-0005-0000-0000-00008B490000}"/>
    <cellStyle name="Normal 11 3" xfId="1308" xr:uid="{00000000-0005-0000-0000-00008C490000}"/>
    <cellStyle name="Normal 11 3 2" xfId="18076" xr:uid="{00000000-0005-0000-0000-00008D490000}"/>
    <cellStyle name="Normal 11 4" xfId="18077" xr:uid="{00000000-0005-0000-0000-00008E490000}"/>
    <cellStyle name="Normal 110" xfId="26670" xr:uid="{00000000-0005-0000-0000-00008F490000}"/>
    <cellStyle name="Normal 111" xfId="26672" xr:uid="{00000000-0005-0000-0000-000090490000}"/>
    <cellStyle name="Normal 112" xfId="26673" xr:uid="{00000000-0005-0000-0000-000091490000}"/>
    <cellStyle name="Normal 113" xfId="26674" xr:uid="{00000000-0005-0000-0000-000092490000}"/>
    <cellStyle name="Normal 114" xfId="26664" xr:uid="{00000000-0005-0000-0000-000093490000}"/>
    <cellStyle name="Normal 115" xfId="26678" xr:uid="{00000000-0005-0000-0000-000094490000}"/>
    <cellStyle name="Normal 116" xfId="25822" xr:uid="{00000000-0005-0000-0000-000095490000}"/>
    <cellStyle name="Normal 116 2" xfId="27210" xr:uid="{00000000-0005-0000-0000-000096490000}"/>
    <cellStyle name="Normal 116 3" xfId="27186" xr:uid="{00000000-0005-0000-0000-000097490000}"/>
    <cellStyle name="Normal 116 4" xfId="27172" xr:uid="{00000000-0005-0000-0000-000098490000}"/>
    <cellStyle name="Normal 116 5" xfId="27132" xr:uid="{00000000-0005-0000-0000-000099490000}"/>
    <cellStyle name="Normal 116 6" xfId="27153" xr:uid="{00000000-0005-0000-0000-00009A490000}"/>
    <cellStyle name="Normal 116 7" xfId="27185" xr:uid="{00000000-0005-0000-0000-00009B490000}"/>
    <cellStyle name="Normal 117" xfId="26652" xr:uid="{00000000-0005-0000-0000-00009C490000}"/>
    <cellStyle name="Normal 118" xfId="26653" xr:uid="{00000000-0005-0000-0000-00009D490000}"/>
    <cellStyle name="Normal 119" xfId="26660" xr:uid="{00000000-0005-0000-0000-00009E490000}"/>
    <cellStyle name="Normal 12" xfId="61" xr:uid="{00000000-0005-0000-0000-00009F490000}"/>
    <cellStyle name="Normal 12 2" xfId="62" xr:uid="{00000000-0005-0000-0000-0000A0490000}"/>
    <cellStyle name="Normal 12 2 2" xfId="27342" xr:uid="{00000000-0005-0000-0000-0000A1490000}"/>
    <cellStyle name="Normal 12 3" xfId="1183" xr:uid="{00000000-0005-0000-0000-0000A2490000}"/>
    <cellStyle name="Normal 12 3 2" xfId="18078" xr:uid="{00000000-0005-0000-0000-0000A3490000}"/>
    <cellStyle name="Normal 12 3 3" xfId="27334" xr:uid="{00000000-0005-0000-0000-0000A4490000}"/>
    <cellStyle name="Normal 12 4" xfId="18079" xr:uid="{00000000-0005-0000-0000-0000A5490000}"/>
    <cellStyle name="Normal 120" xfId="26679" xr:uid="{00000000-0005-0000-0000-0000A6490000}"/>
    <cellStyle name="Normal 121" xfId="26656" xr:uid="{00000000-0005-0000-0000-0000A7490000}"/>
    <cellStyle name="Normal 122" xfId="26661" xr:uid="{00000000-0005-0000-0000-0000A8490000}"/>
    <cellStyle name="Normal 123" xfId="26665" xr:uid="{00000000-0005-0000-0000-0000A9490000}"/>
    <cellStyle name="Normal 124" xfId="26669" xr:uid="{00000000-0005-0000-0000-0000AA490000}"/>
    <cellStyle name="Normal 125" xfId="26671" xr:uid="{00000000-0005-0000-0000-0000AB490000}"/>
    <cellStyle name="Normal 126" xfId="26655" xr:uid="{00000000-0005-0000-0000-0000AC490000}"/>
    <cellStyle name="Normal 126 2" xfId="27219" xr:uid="{00000000-0005-0000-0000-0000AD490000}"/>
    <cellStyle name="Normal 126 3" xfId="27160" xr:uid="{00000000-0005-0000-0000-0000AE490000}"/>
    <cellStyle name="Normal 126 4" xfId="27180" xr:uid="{00000000-0005-0000-0000-0000AF490000}"/>
    <cellStyle name="Normal 126 5" xfId="27212" xr:uid="{00000000-0005-0000-0000-0000B0490000}"/>
    <cellStyle name="Normal 126 6" xfId="27147" xr:uid="{00000000-0005-0000-0000-0000B1490000}"/>
    <cellStyle name="Normal 126 7" xfId="27184" xr:uid="{00000000-0005-0000-0000-0000B2490000}"/>
    <cellStyle name="Normal 127" xfId="26668" xr:uid="{00000000-0005-0000-0000-0000B3490000}"/>
    <cellStyle name="Normal 128" xfId="26676" xr:uid="{00000000-0005-0000-0000-0000B4490000}"/>
    <cellStyle name="Normal 129" xfId="26667" xr:uid="{00000000-0005-0000-0000-0000B5490000}"/>
    <cellStyle name="Normal 13" xfId="152" xr:uid="{00000000-0005-0000-0000-0000B6490000}"/>
    <cellStyle name="Normal 13 10" xfId="9131" xr:uid="{00000000-0005-0000-0000-0000B7490000}"/>
    <cellStyle name="Normal 13 11" xfId="18080" xr:uid="{00000000-0005-0000-0000-0000B8490000}"/>
    <cellStyle name="Normal 13 12" xfId="28332" xr:uid="{00000000-0005-0000-0000-0000B9490000}"/>
    <cellStyle name="Normal 13 13" xfId="29253" xr:uid="{00000000-0005-0000-0000-0000BA490000}"/>
    <cellStyle name="Normal 13 2" xfId="249" xr:uid="{00000000-0005-0000-0000-0000BB490000}"/>
    <cellStyle name="Normal 13 2 10" xfId="18081" xr:uid="{00000000-0005-0000-0000-0000BC490000}"/>
    <cellStyle name="Normal 13 2 11" xfId="28333" xr:uid="{00000000-0005-0000-0000-0000BD490000}"/>
    <cellStyle name="Normal 13 2 12" xfId="29254" xr:uid="{00000000-0005-0000-0000-0000BE490000}"/>
    <cellStyle name="Normal 13 2 2" xfId="456" xr:uid="{00000000-0005-0000-0000-0000BF490000}"/>
    <cellStyle name="Normal 13 2 2 10" xfId="29255" xr:uid="{00000000-0005-0000-0000-0000C0490000}"/>
    <cellStyle name="Normal 13 2 2 2" xfId="949" xr:uid="{00000000-0005-0000-0000-0000C1490000}"/>
    <cellStyle name="Normal 13 2 2 2 2" xfId="1337" xr:uid="{00000000-0005-0000-0000-0000C2490000}"/>
    <cellStyle name="Normal 13 2 2 2 2 2" xfId="2498" xr:uid="{00000000-0005-0000-0000-0000C3490000}"/>
    <cellStyle name="Normal 13 2 2 2 2 2 2" xfId="4668" xr:uid="{00000000-0005-0000-0000-0000C4490000}"/>
    <cellStyle name="Normal 13 2 2 2 2 2 2 2" xfId="9091" xr:uid="{00000000-0005-0000-0000-0000C5490000}"/>
    <cellStyle name="Normal 13 2 2 2 2 2 2 2 2" xfId="17912" xr:uid="{00000000-0005-0000-0000-0000C6490000}"/>
    <cellStyle name="Normal 13 2 2 2 2 2 2 3" xfId="13505" xr:uid="{00000000-0005-0000-0000-0000C7490000}"/>
    <cellStyle name="Normal 13 2 2 2 2 2 3" xfId="6886" xr:uid="{00000000-0005-0000-0000-0000C8490000}"/>
    <cellStyle name="Normal 13 2 2 2 2 2 3 2" xfId="15707" xr:uid="{00000000-0005-0000-0000-0000C9490000}"/>
    <cellStyle name="Normal 13 2 2 2 2 2 4" xfId="11300" xr:uid="{00000000-0005-0000-0000-0000CA490000}"/>
    <cellStyle name="Normal 13 2 2 2 2 3" xfId="2002" xr:uid="{00000000-0005-0000-0000-0000CB490000}"/>
    <cellStyle name="Normal 13 2 2 2 2 3 2" xfId="3959" xr:uid="{00000000-0005-0000-0000-0000CC490000}"/>
    <cellStyle name="Normal 13 2 2 2 2 3 2 2" xfId="8353" xr:uid="{00000000-0005-0000-0000-0000CD490000}"/>
    <cellStyle name="Normal 13 2 2 2 2 3 2 2 2" xfId="17174" xr:uid="{00000000-0005-0000-0000-0000CE490000}"/>
    <cellStyle name="Normal 13 2 2 2 2 3 2 3" xfId="12767" xr:uid="{00000000-0005-0000-0000-0000CF490000}"/>
    <cellStyle name="Normal 13 2 2 2 2 3 3" xfId="6148" xr:uid="{00000000-0005-0000-0000-0000D0490000}"/>
    <cellStyle name="Normal 13 2 2 2 2 3 3 2" xfId="14969" xr:uid="{00000000-0005-0000-0000-0000D1490000}"/>
    <cellStyle name="Normal 13 2 2 2 2 3 4" xfId="10562" xr:uid="{00000000-0005-0000-0000-0000D2490000}"/>
    <cellStyle name="Normal 13 2 2 2 2 4" xfId="3222" xr:uid="{00000000-0005-0000-0000-0000D3490000}"/>
    <cellStyle name="Normal 13 2 2 2 2 4 2" xfId="7616" xr:uid="{00000000-0005-0000-0000-0000D4490000}"/>
    <cellStyle name="Normal 13 2 2 2 2 4 2 2" xfId="16437" xr:uid="{00000000-0005-0000-0000-0000D5490000}"/>
    <cellStyle name="Normal 13 2 2 2 2 4 3" xfId="12030" xr:uid="{00000000-0005-0000-0000-0000D6490000}"/>
    <cellStyle name="Normal 13 2 2 2 2 5" xfId="5411" xr:uid="{00000000-0005-0000-0000-0000D7490000}"/>
    <cellStyle name="Normal 13 2 2 2 2 5 2" xfId="14232" xr:uid="{00000000-0005-0000-0000-0000D8490000}"/>
    <cellStyle name="Normal 13 2 2 2 2 6" xfId="9825" xr:uid="{00000000-0005-0000-0000-0000D9490000}"/>
    <cellStyle name="Normal 13 2 2 2 3" xfId="2237" xr:uid="{00000000-0005-0000-0000-0000DA490000}"/>
    <cellStyle name="Normal 13 2 2 2 3 2" xfId="4313" xr:uid="{00000000-0005-0000-0000-0000DB490000}"/>
    <cellStyle name="Normal 13 2 2 2 3 2 2" xfId="8722" xr:uid="{00000000-0005-0000-0000-0000DC490000}"/>
    <cellStyle name="Normal 13 2 2 2 3 2 2 2" xfId="17543" xr:uid="{00000000-0005-0000-0000-0000DD490000}"/>
    <cellStyle name="Normal 13 2 2 2 3 2 3" xfId="13136" xr:uid="{00000000-0005-0000-0000-0000DE490000}"/>
    <cellStyle name="Normal 13 2 2 2 3 3" xfId="6517" xr:uid="{00000000-0005-0000-0000-0000DF490000}"/>
    <cellStyle name="Normal 13 2 2 2 3 3 2" xfId="15338" xr:uid="{00000000-0005-0000-0000-0000E0490000}"/>
    <cellStyle name="Normal 13 2 2 2 3 4" xfId="10931" xr:uid="{00000000-0005-0000-0000-0000E1490000}"/>
    <cellStyle name="Normal 13 2 2 2 4" xfId="1647" xr:uid="{00000000-0005-0000-0000-0000E2490000}"/>
    <cellStyle name="Normal 13 2 2 2 4 2" xfId="3590" xr:uid="{00000000-0005-0000-0000-0000E3490000}"/>
    <cellStyle name="Normal 13 2 2 2 4 2 2" xfId="7984" xr:uid="{00000000-0005-0000-0000-0000E4490000}"/>
    <cellStyle name="Normal 13 2 2 2 4 2 2 2" xfId="16805" xr:uid="{00000000-0005-0000-0000-0000E5490000}"/>
    <cellStyle name="Normal 13 2 2 2 4 2 3" xfId="12398" xr:uid="{00000000-0005-0000-0000-0000E6490000}"/>
    <cellStyle name="Normal 13 2 2 2 4 3" xfId="5779" xr:uid="{00000000-0005-0000-0000-0000E7490000}"/>
    <cellStyle name="Normal 13 2 2 2 4 3 2" xfId="14600" xr:uid="{00000000-0005-0000-0000-0000E8490000}"/>
    <cellStyle name="Normal 13 2 2 2 4 4" xfId="10193" xr:uid="{00000000-0005-0000-0000-0000E9490000}"/>
    <cellStyle name="Normal 13 2 2 2 5" xfId="2853" xr:uid="{00000000-0005-0000-0000-0000EA490000}"/>
    <cellStyle name="Normal 13 2 2 2 5 2" xfId="7247" xr:uid="{00000000-0005-0000-0000-0000EB490000}"/>
    <cellStyle name="Normal 13 2 2 2 5 2 2" xfId="16068" xr:uid="{00000000-0005-0000-0000-0000EC490000}"/>
    <cellStyle name="Normal 13 2 2 2 5 3" xfId="11661" xr:uid="{00000000-0005-0000-0000-0000ED490000}"/>
    <cellStyle name="Normal 13 2 2 2 6" xfId="5042" xr:uid="{00000000-0005-0000-0000-0000EE490000}"/>
    <cellStyle name="Normal 13 2 2 2 6 2" xfId="13863" xr:uid="{00000000-0005-0000-0000-0000EF490000}"/>
    <cellStyle name="Normal 13 2 2 2 7" xfId="9456" xr:uid="{00000000-0005-0000-0000-0000F0490000}"/>
    <cellStyle name="Normal 13 2 2 2 8" xfId="28335" xr:uid="{00000000-0005-0000-0000-0000F1490000}"/>
    <cellStyle name="Normal 13 2 2 2 9" xfId="29256" xr:uid="{00000000-0005-0000-0000-0000F2490000}"/>
    <cellStyle name="Normal 13 2 2 3" xfId="1248" xr:uid="{00000000-0005-0000-0000-0000F3490000}"/>
    <cellStyle name="Normal 13 2 2 3 2" xfId="2367" xr:uid="{00000000-0005-0000-0000-0000F4490000}"/>
    <cellStyle name="Normal 13 2 2 3 2 2" xfId="4484" xr:uid="{00000000-0005-0000-0000-0000F5490000}"/>
    <cellStyle name="Normal 13 2 2 3 2 2 2" xfId="8906" xr:uid="{00000000-0005-0000-0000-0000F6490000}"/>
    <cellStyle name="Normal 13 2 2 3 2 2 2 2" xfId="17727" xr:uid="{00000000-0005-0000-0000-0000F7490000}"/>
    <cellStyle name="Normal 13 2 2 3 2 2 3" xfId="13320" xr:uid="{00000000-0005-0000-0000-0000F8490000}"/>
    <cellStyle name="Normal 13 2 2 3 2 3" xfId="6701" xr:uid="{00000000-0005-0000-0000-0000F9490000}"/>
    <cellStyle name="Normal 13 2 2 3 2 3 2" xfId="15522" xr:uid="{00000000-0005-0000-0000-0000FA490000}"/>
    <cellStyle name="Normal 13 2 2 3 2 4" xfId="11115" xr:uid="{00000000-0005-0000-0000-0000FB490000}"/>
    <cellStyle name="Normal 13 2 2 3 3" xfId="1818" xr:uid="{00000000-0005-0000-0000-0000FC490000}"/>
    <cellStyle name="Normal 13 2 2 3 3 2" xfId="3774" xr:uid="{00000000-0005-0000-0000-0000FD490000}"/>
    <cellStyle name="Normal 13 2 2 3 3 2 2" xfId="8168" xr:uid="{00000000-0005-0000-0000-0000FE490000}"/>
    <cellStyle name="Normal 13 2 2 3 3 2 2 2" xfId="16989" xr:uid="{00000000-0005-0000-0000-0000FF490000}"/>
    <cellStyle name="Normal 13 2 2 3 3 2 3" xfId="12582" xr:uid="{00000000-0005-0000-0000-0000004A0000}"/>
    <cellStyle name="Normal 13 2 2 3 3 3" xfId="5963" xr:uid="{00000000-0005-0000-0000-0000014A0000}"/>
    <cellStyle name="Normal 13 2 2 3 3 3 2" xfId="14784" xr:uid="{00000000-0005-0000-0000-0000024A0000}"/>
    <cellStyle name="Normal 13 2 2 3 3 4" xfId="10377" xr:uid="{00000000-0005-0000-0000-0000034A0000}"/>
    <cellStyle name="Normal 13 2 2 3 4" xfId="3037" xr:uid="{00000000-0005-0000-0000-0000044A0000}"/>
    <cellStyle name="Normal 13 2 2 3 4 2" xfId="7431" xr:uid="{00000000-0005-0000-0000-0000054A0000}"/>
    <cellStyle name="Normal 13 2 2 3 4 2 2" xfId="16252" xr:uid="{00000000-0005-0000-0000-0000064A0000}"/>
    <cellStyle name="Normal 13 2 2 3 4 3" xfId="11845" xr:uid="{00000000-0005-0000-0000-0000074A0000}"/>
    <cellStyle name="Normal 13 2 2 3 5" xfId="5226" xr:uid="{00000000-0005-0000-0000-0000084A0000}"/>
    <cellStyle name="Normal 13 2 2 3 5 2" xfId="14047" xr:uid="{00000000-0005-0000-0000-0000094A0000}"/>
    <cellStyle name="Normal 13 2 2 3 6" xfId="9640" xr:uid="{00000000-0005-0000-0000-00000A4A0000}"/>
    <cellStyle name="Normal 13 2 2 4" xfId="2106" xr:uid="{00000000-0005-0000-0000-00000B4A0000}"/>
    <cellStyle name="Normal 13 2 2 4 2" xfId="4129" xr:uid="{00000000-0005-0000-0000-00000C4A0000}"/>
    <cellStyle name="Normal 13 2 2 4 2 2" xfId="8537" xr:uid="{00000000-0005-0000-0000-00000D4A0000}"/>
    <cellStyle name="Normal 13 2 2 4 2 2 2" xfId="17358" xr:uid="{00000000-0005-0000-0000-00000E4A0000}"/>
    <cellStyle name="Normal 13 2 2 4 2 3" xfId="12951" xr:uid="{00000000-0005-0000-0000-00000F4A0000}"/>
    <cellStyle name="Normal 13 2 2 4 3" xfId="6332" xr:uid="{00000000-0005-0000-0000-0000104A0000}"/>
    <cellStyle name="Normal 13 2 2 4 3 2" xfId="15153" xr:uid="{00000000-0005-0000-0000-0000114A0000}"/>
    <cellStyle name="Normal 13 2 2 4 4" xfId="10746" xr:uid="{00000000-0005-0000-0000-0000124A0000}"/>
    <cellStyle name="Normal 13 2 2 5" xfId="1464" xr:uid="{00000000-0005-0000-0000-0000134A0000}"/>
    <cellStyle name="Normal 13 2 2 5 2" xfId="3405" xr:uid="{00000000-0005-0000-0000-0000144A0000}"/>
    <cellStyle name="Normal 13 2 2 5 2 2" xfId="7799" xr:uid="{00000000-0005-0000-0000-0000154A0000}"/>
    <cellStyle name="Normal 13 2 2 5 2 2 2" xfId="16620" xr:uid="{00000000-0005-0000-0000-0000164A0000}"/>
    <cellStyle name="Normal 13 2 2 5 2 3" xfId="12213" xr:uid="{00000000-0005-0000-0000-0000174A0000}"/>
    <cellStyle name="Normal 13 2 2 5 3" xfId="5594" xr:uid="{00000000-0005-0000-0000-0000184A0000}"/>
    <cellStyle name="Normal 13 2 2 5 3 2" xfId="14415" xr:uid="{00000000-0005-0000-0000-0000194A0000}"/>
    <cellStyle name="Normal 13 2 2 5 4" xfId="10008" xr:uid="{00000000-0005-0000-0000-00001A4A0000}"/>
    <cellStyle name="Normal 13 2 2 6" xfId="2669" xr:uid="{00000000-0005-0000-0000-00001B4A0000}"/>
    <cellStyle name="Normal 13 2 2 6 2" xfId="7062" xr:uid="{00000000-0005-0000-0000-00001C4A0000}"/>
    <cellStyle name="Normal 13 2 2 6 2 2" xfId="15883" xr:uid="{00000000-0005-0000-0000-00001D4A0000}"/>
    <cellStyle name="Normal 13 2 2 6 3" xfId="11476" xr:uid="{00000000-0005-0000-0000-00001E4A0000}"/>
    <cellStyle name="Normal 13 2 2 7" xfId="4857" xr:uid="{00000000-0005-0000-0000-00001F4A0000}"/>
    <cellStyle name="Normal 13 2 2 7 2" xfId="13678" xr:uid="{00000000-0005-0000-0000-0000204A0000}"/>
    <cellStyle name="Normal 13 2 2 8" xfId="9271" xr:uid="{00000000-0005-0000-0000-0000214A0000}"/>
    <cellStyle name="Normal 13 2 2 9" xfId="28334" xr:uid="{00000000-0005-0000-0000-0000224A0000}"/>
    <cellStyle name="Normal 13 2 3" xfId="724" xr:uid="{00000000-0005-0000-0000-0000234A0000}"/>
    <cellStyle name="Normal 13 2 3 2" xfId="1078" xr:uid="{00000000-0005-0000-0000-0000244A0000}"/>
    <cellStyle name="Normal 13 2 3 2 2" xfId="2433" xr:uid="{00000000-0005-0000-0000-0000254A0000}"/>
    <cellStyle name="Normal 13 2 3 2 2 2" xfId="4577" xr:uid="{00000000-0005-0000-0000-0000264A0000}"/>
    <cellStyle name="Normal 13 2 3 2 2 2 2" xfId="8999" xr:uid="{00000000-0005-0000-0000-0000274A0000}"/>
    <cellStyle name="Normal 13 2 3 2 2 2 2 2" xfId="17820" xr:uid="{00000000-0005-0000-0000-0000284A0000}"/>
    <cellStyle name="Normal 13 2 3 2 2 2 3" xfId="13413" xr:uid="{00000000-0005-0000-0000-0000294A0000}"/>
    <cellStyle name="Normal 13 2 3 2 2 3" xfId="6794" xr:uid="{00000000-0005-0000-0000-00002A4A0000}"/>
    <cellStyle name="Normal 13 2 3 2 2 3 2" xfId="15615" xr:uid="{00000000-0005-0000-0000-00002B4A0000}"/>
    <cellStyle name="Normal 13 2 3 2 2 4" xfId="11208" xr:uid="{00000000-0005-0000-0000-00002C4A0000}"/>
    <cellStyle name="Normal 13 2 3 2 3" xfId="1911" xr:uid="{00000000-0005-0000-0000-00002D4A0000}"/>
    <cellStyle name="Normal 13 2 3 2 3 2" xfId="3867" xr:uid="{00000000-0005-0000-0000-00002E4A0000}"/>
    <cellStyle name="Normal 13 2 3 2 3 2 2" xfId="8261" xr:uid="{00000000-0005-0000-0000-00002F4A0000}"/>
    <cellStyle name="Normal 13 2 3 2 3 2 2 2" xfId="17082" xr:uid="{00000000-0005-0000-0000-0000304A0000}"/>
    <cellStyle name="Normal 13 2 3 2 3 2 3" xfId="12675" xr:uid="{00000000-0005-0000-0000-0000314A0000}"/>
    <cellStyle name="Normal 13 2 3 2 3 3" xfId="6056" xr:uid="{00000000-0005-0000-0000-0000324A0000}"/>
    <cellStyle name="Normal 13 2 3 2 3 3 2" xfId="14877" xr:uid="{00000000-0005-0000-0000-0000334A0000}"/>
    <cellStyle name="Normal 13 2 3 2 3 4" xfId="10470" xr:uid="{00000000-0005-0000-0000-0000344A0000}"/>
    <cellStyle name="Normal 13 2 3 2 4" xfId="3130" xr:uid="{00000000-0005-0000-0000-0000354A0000}"/>
    <cellStyle name="Normal 13 2 3 2 4 2" xfId="7524" xr:uid="{00000000-0005-0000-0000-0000364A0000}"/>
    <cellStyle name="Normal 13 2 3 2 4 2 2" xfId="16345" xr:uid="{00000000-0005-0000-0000-0000374A0000}"/>
    <cellStyle name="Normal 13 2 3 2 4 3" xfId="11938" xr:uid="{00000000-0005-0000-0000-0000384A0000}"/>
    <cellStyle name="Normal 13 2 3 2 5" xfId="5319" xr:uid="{00000000-0005-0000-0000-0000394A0000}"/>
    <cellStyle name="Normal 13 2 3 2 5 2" xfId="14140" xr:uid="{00000000-0005-0000-0000-00003A4A0000}"/>
    <cellStyle name="Normal 13 2 3 2 6" xfId="9733" xr:uid="{00000000-0005-0000-0000-00003B4A0000}"/>
    <cellStyle name="Normal 13 2 3 3" xfId="2172" xr:uid="{00000000-0005-0000-0000-00003C4A0000}"/>
    <cellStyle name="Normal 13 2 3 3 2" xfId="4222" xr:uid="{00000000-0005-0000-0000-00003D4A0000}"/>
    <cellStyle name="Normal 13 2 3 3 2 2" xfId="8630" xr:uid="{00000000-0005-0000-0000-00003E4A0000}"/>
    <cellStyle name="Normal 13 2 3 3 2 2 2" xfId="17451" xr:uid="{00000000-0005-0000-0000-00003F4A0000}"/>
    <cellStyle name="Normal 13 2 3 3 2 3" xfId="13044" xr:uid="{00000000-0005-0000-0000-0000404A0000}"/>
    <cellStyle name="Normal 13 2 3 3 3" xfId="6425" xr:uid="{00000000-0005-0000-0000-0000414A0000}"/>
    <cellStyle name="Normal 13 2 3 3 3 2" xfId="15246" xr:uid="{00000000-0005-0000-0000-0000424A0000}"/>
    <cellStyle name="Normal 13 2 3 3 4" xfId="10839" xr:uid="{00000000-0005-0000-0000-0000434A0000}"/>
    <cellStyle name="Normal 13 2 3 4" xfId="1556" xr:uid="{00000000-0005-0000-0000-0000444A0000}"/>
    <cellStyle name="Normal 13 2 3 4 2" xfId="3498" xr:uid="{00000000-0005-0000-0000-0000454A0000}"/>
    <cellStyle name="Normal 13 2 3 4 2 2" xfId="7892" xr:uid="{00000000-0005-0000-0000-0000464A0000}"/>
    <cellStyle name="Normal 13 2 3 4 2 2 2" xfId="16713" xr:uid="{00000000-0005-0000-0000-0000474A0000}"/>
    <cellStyle name="Normal 13 2 3 4 2 3" xfId="12306" xr:uid="{00000000-0005-0000-0000-0000484A0000}"/>
    <cellStyle name="Normal 13 2 3 4 3" xfId="5687" xr:uid="{00000000-0005-0000-0000-0000494A0000}"/>
    <cellStyle name="Normal 13 2 3 4 3 2" xfId="14508" xr:uid="{00000000-0005-0000-0000-00004A4A0000}"/>
    <cellStyle name="Normal 13 2 3 4 4" xfId="10101" xr:uid="{00000000-0005-0000-0000-00004B4A0000}"/>
    <cellStyle name="Normal 13 2 3 5" xfId="2762" xr:uid="{00000000-0005-0000-0000-00004C4A0000}"/>
    <cellStyle name="Normal 13 2 3 5 2" xfId="7155" xr:uid="{00000000-0005-0000-0000-00004D4A0000}"/>
    <cellStyle name="Normal 13 2 3 5 2 2" xfId="15976" xr:uid="{00000000-0005-0000-0000-00004E4A0000}"/>
    <cellStyle name="Normal 13 2 3 5 3" xfId="11569" xr:uid="{00000000-0005-0000-0000-00004F4A0000}"/>
    <cellStyle name="Normal 13 2 3 6" xfId="4950" xr:uid="{00000000-0005-0000-0000-0000504A0000}"/>
    <cellStyle name="Normal 13 2 3 6 2" xfId="13771" xr:uid="{00000000-0005-0000-0000-0000514A0000}"/>
    <cellStyle name="Normal 13 2 3 7" xfId="9364" xr:uid="{00000000-0005-0000-0000-0000524A0000}"/>
    <cellStyle name="Normal 13 2 3 8" xfId="28336" xr:uid="{00000000-0005-0000-0000-0000534A0000}"/>
    <cellStyle name="Normal 13 2 3 9" xfId="29257" xr:uid="{00000000-0005-0000-0000-0000544A0000}"/>
    <cellStyle name="Normal 13 2 4" xfId="1137" xr:uid="{00000000-0005-0000-0000-0000554A0000}"/>
    <cellStyle name="Normal 13 2 4 2" xfId="2302" xr:uid="{00000000-0005-0000-0000-0000564A0000}"/>
    <cellStyle name="Normal 13 2 4 2 2" xfId="4393" xr:uid="{00000000-0005-0000-0000-0000574A0000}"/>
    <cellStyle name="Normal 13 2 4 2 2 2" xfId="8814" xr:uid="{00000000-0005-0000-0000-0000584A0000}"/>
    <cellStyle name="Normal 13 2 4 2 2 2 2" xfId="17635" xr:uid="{00000000-0005-0000-0000-0000594A0000}"/>
    <cellStyle name="Normal 13 2 4 2 2 3" xfId="13228" xr:uid="{00000000-0005-0000-0000-00005A4A0000}"/>
    <cellStyle name="Normal 13 2 4 2 3" xfId="6609" xr:uid="{00000000-0005-0000-0000-00005B4A0000}"/>
    <cellStyle name="Normal 13 2 4 2 3 2" xfId="15430" xr:uid="{00000000-0005-0000-0000-00005C4A0000}"/>
    <cellStyle name="Normal 13 2 4 2 4" xfId="11023" xr:uid="{00000000-0005-0000-0000-00005D4A0000}"/>
    <cellStyle name="Normal 13 2 4 3" xfId="1727" xr:uid="{00000000-0005-0000-0000-00005E4A0000}"/>
    <cellStyle name="Normal 13 2 4 3 2" xfId="3682" xr:uid="{00000000-0005-0000-0000-00005F4A0000}"/>
    <cellStyle name="Normal 13 2 4 3 2 2" xfId="8076" xr:uid="{00000000-0005-0000-0000-0000604A0000}"/>
    <cellStyle name="Normal 13 2 4 3 2 2 2" xfId="16897" xr:uid="{00000000-0005-0000-0000-0000614A0000}"/>
    <cellStyle name="Normal 13 2 4 3 2 3" xfId="12490" xr:uid="{00000000-0005-0000-0000-0000624A0000}"/>
    <cellStyle name="Normal 13 2 4 3 3" xfId="5871" xr:uid="{00000000-0005-0000-0000-0000634A0000}"/>
    <cellStyle name="Normal 13 2 4 3 3 2" xfId="14692" xr:uid="{00000000-0005-0000-0000-0000644A0000}"/>
    <cellStyle name="Normal 13 2 4 3 4" xfId="10285" xr:uid="{00000000-0005-0000-0000-0000654A0000}"/>
    <cellStyle name="Normal 13 2 4 4" xfId="2945" xr:uid="{00000000-0005-0000-0000-0000664A0000}"/>
    <cellStyle name="Normal 13 2 4 4 2" xfId="7339" xr:uid="{00000000-0005-0000-0000-0000674A0000}"/>
    <cellStyle name="Normal 13 2 4 4 2 2" xfId="16160" xr:uid="{00000000-0005-0000-0000-0000684A0000}"/>
    <cellStyle name="Normal 13 2 4 4 3" xfId="11753" xr:uid="{00000000-0005-0000-0000-0000694A0000}"/>
    <cellStyle name="Normal 13 2 4 5" xfId="5134" xr:uid="{00000000-0005-0000-0000-00006A4A0000}"/>
    <cellStyle name="Normal 13 2 4 5 2" xfId="13955" xr:uid="{00000000-0005-0000-0000-00006B4A0000}"/>
    <cellStyle name="Normal 13 2 4 6" xfId="9548" xr:uid="{00000000-0005-0000-0000-00006C4A0000}"/>
    <cellStyle name="Normal 13 2 5" xfId="2054" xr:uid="{00000000-0005-0000-0000-00006D4A0000}"/>
    <cellStyle name="Normal 13 2 5 2" xfId="4038" xr:uid="{00000000-0005-0000-0000-00006E4A0000}"/>
    <cellStyle name="Normal 13 2 5 2 2" xfId="8445" xr:uid="{00000000-0005-0000-0000-00006F4A0000}"/>
    <cellStyle name="Normal 13 2 5 2 2 2" xfId="17266" xr:uid="{00000000-0005-0000-0000-0000704A0000}"/>
    <cellStyle name="Normal 13 2 5 2 3" xfId="12859" xr:uid="{00000000-0005-0000-0000-0000714A0000}"/>
    <cellStyle name="Normal 13 2 5 3" xfId="6240" xr:uid="{00000000-0005-0000-0000-0000724A0000}"/>
    <cellStyle name="Normal 13 2 5 3 2" xfId="15061" xr:uid="{00000000-0005-0000-0000-0000734A0000}"/>
    <cellStyle name="Normal 13 2 5 4" xfId="10654" xr:uid="{00000000-0005-0000-0000-0000744A0000}"/>
    <cellStyle name="Normal 13 2 6" xfId="1399" xr:uid="{00000000-0005-0000-0000-0000754A0000}"/>
    <cellStyle name="Normal 13 2 6 2" xfId="3313" xr:uid="{00000000-0005-0000-0000-0000764A0000}"/>
    <cellStyle name="Normal 13 2 6 2 2" xfId="7707" xr:uid="{00000000-0005-0000-0000-0000774A0000}"/>
    <cellStyle name="Normal 13 2 6 2 2 2" xfId="16528" xr:uid="{00000000-0005-0000-0000-0000784A0000}"/>
    <cellStyle name="Normal 13 2 6 2 3" xfId="12121" xr:uid="{00000000-0005-0000-0000-0000794A0000}"/>
    <cellStyle name="Normal 13 2 6 3" xfId="5502" xr:uid="{00000000-0005-0000-0000-00007A4A0000}"/>
    <cellStyle name="Normal 13 2 6 3 2" xfId="14323" xr:uid="{00000000-0005-0000-0000-00007B4A0000}"/>
    <cellStyle name="Normal 13 2 6 4" xfId="9916" xr:uid="{00000000-0005-0000-0000-00007C4A0000}"/>
    <cellStyle name="Normal 13 2 7" xfId="2578" xr:uid="{00000000-0005-0000-0000-00007D4A0000}"/>
    <cellStyle name="Normal 13 2 7 2" xfId="6970" xr:uid="{00000000-0005-0000-0000-00007E4A0000}"/>
    <cellStyle name="Normal 13 2 7 2 2" xfId="15791" xr:uid="{00000000-0005-0000-0000-00007F4A0000}"/>
    <cellStyle name="Normal 13 2 7 3" xfId="11384" xr:uid="{00000000-0005-0000-0000-0000804A0000}"/>
    <cellStyle name="Normal 13 2 8" xfId="4765" xr:uid="{00000000-0005-0000-0000-0000814A0000}"/>
    <cellStyle name="Normal 13 2 8 2" xfId="13586" xr:uid="{00000000-0005-0000-0000-0000824A0000}"/>
    <cellStyle name="Normal 13 2 9" xfId="9179" xr:uid="{00000000-0005-0000-0000-0000834A0000}"/>
    <cellStyle name="Normal 13 3" xfId="363" xr:uid="{00000000-0005-0000-0000-0000844A0000}"/>
    <cellStyle name="Normal 13 3 10" xfId="28337" xr:uid="{00000000-0005-0000-0000-0000854A0000}"/>
    <cellStyle name="Normal 13 3 11" xfId="29258" xr:uid="{00000000-0005-0000-0000-0000864A0000}"/>
    <cellStyle name="Normal 13 3 2" xfId="856" xr:uid="{00000000-0005-0000-0000-0000874A0000}"/>
    <cellStyle name="Normal 13 3 2 2" xfId="1259" xr:uid="{00000000-0005-0000-0000-0000884A0000}"/>
    <cellStyle name="Normal 13 3 2 2 2" xfId="2465" xr:uid="{00000000-0005-0000-0000-0000894A0000}"/>
    <cellStyle name="Normal 13 3 2 2 2 2" xfId="4621" xr:uid="{00000000-0005-0000-0000-00008A4A0000}"/>
    <cellStyle name="Normal 13 3 2 2 2 2 2" xfId="9044" xr:uid="{00000000-0005-0000-0000-00008B4A0000}"/>
    <cellStyle name="Normal 13 3 2 2 2 2 2 2" xfId="17865" xr:uid="{00000000-0005-0000-0000-00008C4A0000}"/>
    <cellStyle name="Normal 13 3 2 2 2 2 3" xfId="13458" xr:uid="{00000000-0005-0000-0000-00008D4A0000}"/>
    <cellStyle name="Normal 13 3 2 2 2 3" xfId="6839" xr:uid="{00000000-0005-0000-0000-00008E4A0000}"/>
    <cellStyle name="Normal 13 3 2 2 2 3 2" xfId="15660" xr:uid="{00000000-0005-0000-0000-00008F4A0000}"/>
    <cellStyle name="Normal 13 3 2 2 2 4" xfId="11253" xr:uid="{00000000-0005-0000-0000-0000904A0000}"/>
    <cellStyle name="Normal 13 3 2 2 3" xfId="1955" xr:uid="{00000000-0005-0000-0000-0000914A0000}"/>
    <cellStyle name="Normal 13 3 2 2 3 2" xfId="3912" xr:uid="{00000000-0005-0000-0000-0000924A0000}"/>
    <cellStyle name="Normal 13 3 2 2 3 2 2" xfId="8306" xr:uid="{00000000-0005-0000-0000-0000934A0000}"/>
    <cellStyle name="Normal 13 3 2 2 3 2 2 2" xfId="17127" xr:uid="{00000000-0005-0000-0000-0000944A0000}"/>
    <cellStyle name="Normal 13 3 2 2 3 2 3" xfId="12720" xr:uid="{00000000-0005-0000-0000-0000954A0000}"/>
    <cellStyle name="Normal 13 3 2 2 3 3" xfId="6101" xr:uid="{00000000-0005-0000-0000-0000964A0000}"/>
    <cellStyle name="Normal 13 3 2 2 3 3 2" xfId="14922" xr:uid="{00000000-0005-0000-0000-0000974A0000}"/>
    <cellStyle name="Normal 13 3 2 2 3 4" xfId="10515" xr:uid="{00000000-0005-0000-0000-0000984A0000}"/>
    <cellStyle name="Normal 13 3 2 2 4" xfId="3175" xr:uid="{00000000-0005-0000-0000-0000994A0000}"/>
    <cellStyle name="Normal 13 3 2 2 4 2" xfId="7569" xr:uid="{00000000-0005-0000-0000-00009A4A0000}"/>
    <cellStyle name="Normal 13 3 2 2 4 2 2" xfId="16390" xr:uid="{00000000-0005-0000-0000-00009B4A0000}"/>
    <cellStyle name="Normal 13 3 2 2 4 3" xfId="11983" xr:uid="{00000000-0005-0000-0000-00009C4A0000}"/>
    <cellStyle name="Normal 13 3 2 2 5" xfId="5364" xr:uid="{00000000-0005-0000-0000-00009D4A0000}"/>
    <cellStyle name="Normal 13 3 2 2 5 2" xfId="14185" xr:uid="{00000000-0005-0000-0000-00009E4A0000}"/>
    <cellStyle name="Normal 13 3 2 2 6" xfId="9778" xr:uid="{00000000-0005-0000-0000-00009F4A0000}"/>
    <cellStyle name="Normal 13 3 2 3" xfId="2204" xr:uid="{00000000-0005-0000-0000-0000A04A0000}"/>
    <cellStyle name="Normal 13 3 2 3 2" xfId="4266" xr:uid="{00000000-0005-0000-0000-0000A14A0000}"/>
    <cellStyle name="Normal 13 3 2 3 2 2" xfId="8675" xr:uid="{00000000-0005-0000-0000-0000A24A0000}"/>
    <cellStyle name="Normal 13 3 2 3 2 2 2" xfId="17496" xr:uid="{00000000-0005-0000-0000-0000A34A0000}"/>
    <cellStyle name="Normal 13 3 2 3 2 3" xfId="13089" xr:uid="{00000000-0005-0000-0000-0000A44A0000}"/>
    <cellStyle name="Normal 13 3 2 3 3" xfId="6470" xr:uid="{00000000-0005-0000-0000-0000A54A0000}"/>
    <cellStyle name="Normal 13 3 2 3 3 2" xfId="15291" xr:uid="{00000000-0005-0000-0000-0000A64A0000}"/>
    <cellStyle name="Normal 13 3 2 3 4" xfId="10884" xr:uid="{00000000-0005-0000-0000-0000A74A0000}"/>
    <cellStyle name="Normal 13 3 2 4" xfId="1600" xr:uid="{00000000-0005-0000-0000-0000A84A0000}"/>
    <cellStyle name="Normal 13 3 2 4 2" xfId="3543" xr:uid="{00000000-0005-0000-0000-0000A94A0000}"/>
    <cellStyle name="Normal 13 3 2 4 2 2" xfId="7937" xr:uid="{00000000-0005-0000-0000-0000AA4A0000}"/>
    <cellStyle name="Normal 13 3 2 4 2 2 2" xfId="16758" xr:uid="{00000000-0005-0000-0000-0000AB4A0000}"/>
    <cellStyle name="Normal 13 3 2 4 2 3" xfId="12351" xr:uid="{00000000-0005-0000-0000-0000AC4A0000}"/>
    <cellStyle name="Normal 13 3 2 4 3" xfId="5732" xr:uid="{00000000-0005-0000-0000-0000AD4A0000}"/>
    <cellStyle name="Normal 13 3 2 4 3 2" xfId="14553" xr:uid="{00000000-0005-0000-0000-0000AE4A0000}"/>
    <cellStyle name="Normal 13 3 2 4 4" xfId="10146" xr:uid="{00000000-0005-0000-0000-0000AF4A0000}"/>
    <cellStyle name="Normal 13 3 2 5" xfId="2806" xr:uid="{00000000-0005-0000-0000-0000B04A0000}"/>
    <cellStyle name="Normal 13 3 2 5 2" xfId="7200" xr:uid="{00000000-0005-0000-0000-0000B14A0000}"/>
    <cellStyle name="Normal 13 3 2 5 2 2" xfId="16021" xr:uid="{00000000-0005-0000-0000-0000B24A0000}"/>
    <cellStyle name="Normal 13 3 2 5 3" xfId="11614" xr:uid="{00000000-0005-0000-0000-0000B34A0000}"/>
    <cellStyle name="Normal 13 3 2 6" xfId="4995" xr:uid="{00000000-0005-0000-0000-0000B44A0000}"/>
    <cellStyle name="Normal 13 3 2 6 2" xfId="13816" xr:uid="{00000000-0005-0000-0000-0000B54A0000}"/>
    <cellStyle name="Normal 13 3 2 7" xfId="9409" xr:uid="{00000000-0005-0000-0000-0000B64A0000}"/>
    <cellStyle name="Normal 13 3 2 8" xfId="28338" xr:uid="{00000000-0005-0000-0000-0000B74A0000}"/>
    <cellStyle name="Normal 13 3 2 9" xfId="29259" xr:uid="{00000000-0005-0000-0000-0000B84A0000}"/>
    <cellStyle name="Normal 13 3 3" xfId="1269" xr:uid="{00000000-0005-0000-0000-0000B94A0000}"/>
    <cellStyle name="Normal 13 3 3 2" xfId="2334" xr:uid="{00000000-0005-0000-0000-0000BA4A0000}"/>
    <cellStyle name="Normal 13 3 3 2 2" xfId="4437" xr:uid="{00000000-0005-0000-0000-0000BB4A0000}"/>
    <cellStyle name="Normal 13 3 3 2 2 2" xfId="8859" xr:uid="{00000000-0005-0000-0000-0000BC4A0000}"/>
    <cellStyle name="Normal 13 3 3 2 2 2 2" xfId="17680" xr:uid="{00000000-0005-0000-0000-0000BD4A0000}"/>
    <cellStyle name="Normal 13 3 3 2 2 3" xfId="13273" xr:uid="{00000000-0005-0000-0000-0000BE4A0000}"/>
    <cellStyle name="Normal 13 3 3 2 3" xfId="6654" xr:uid="{00000000-0005-0000-0000-0000BF4A0000}"/>
    <cellStyle name="Normal 13 3 3 2 3 2" xfId="15475" xr:uid="{00000000-0005-0000-0000-0000C04A0000}"/>
    <cellStyle name="Normal 13 3 3 2 4" xfId="11068" xr:uid="{00000000-0005-0000-0000-0000C14A0000}"/>
    <cellStyle name="Normal 13 3 3 3" xfId="1771" xr:uid="{00000000-0005-0000-0000-0000C24A0000}"/>
    <cellStyle name="Normal 13 3 3 3 2" xfId="3727" xr:uid="{00000000-0005-0000-0000-0000C34A0000}"/>
    <cellStyle name="Normal 13 3 3 3 2 2" xfId="8121" xr:uid="{00000000-0005-0000-0000-0000C44A0000}"/>
    <cellStyle name="Normal 13 3 3 3 2 2 2" xfId="16942" xr:uid="{00000000-0005-0000-0000-0000C54A0000}"/>
    <cellStyle name="Normal 13 3 3 3 2 3" xfId="12535" xr:uid="{00000000-0005-0000-0000-0000C64A0000}"/>
    <cellStyle name="Normal 13 3 3 3 3" xfId="5916" xr:uid="{00000000-0005-0000-0000-0000C74A0000}"/>
    <cellStyle name="Normal 13 3 3 3 3 2" xfId="14737" xr:uid="{00000000-0005-0000-0000-0000C84A0000}"/>
    <cellStyle name="Normal 13 3 3 3 4" xfId="10330" xr:uid="{00000000-0005-0000-0000-0000C94A0000}"/>
    <cellStyle name="Normal 13 3 3 4" xfId="2990" xr:uid="{00000000-0005-0000-0000-0000CA4A0000}"/>
    <cellStyle name="Normal 13 3 3 4 2" xfId="7384" xr:uid="{00000000-0005-0000-0000-0000CB4A0000}"/>
    <cellStyle name="Normal 13 3 3 4 2 2" xfId="16205" xr:uid="{00000000-0005-0000-0000-0000CC4A0000}"/>
    <cellStyle name="Normal 13 3 3 4 3" xfId="11798" xr:uid="{00000000-0005-0000-0000-0000CD4A0000}"/>
    <cellStyle name="Normal 13 3 3 5" xfId="5179" xr:uid="{00000000-0005-0000-0000-0000CE4A0000}"/>
    <cellStyle name="Normal 13 3 3 5 2" xfId="14000" xr:uid="{00000000-0005-0000-0000-0000CF4A0000}"/>
    <cellStyle name="Normal 13 3 3 6" xfId="9593" xr:uid="{00000000-0005-0000-0000-0000D04A0000}"/>
    <cellStyle name="Normal 13 3 4" xfId="2073" xr:uid="{00000000-0005-0000-0000-0000D14A0000}"/>
    <cellStyle name="Normal 13 3 4 2" xfId="4082" xr:uid="{00000000-0005-0000-0000-0000D24A0000}"/>
    <cellStyle name="Normal 13 3 4 2 2" xfId="8490" xr:uid="{00000000-0005-0000-0000-0000D34A0000}"/>
    <cellStyle name="Normal 13 3 4 2 2 2" xfId="17311" xr:uid="{00000000-0005-0000-0000-0000D44A0000}"/>
    <cellStyle name="Normal 13 3 4 2 3" xfId="12904" xr:uid="{00000000-0005-0000-0000-0000D54A0000}"/>
    <cellStyle name="Normal 13 3 4 3" xfId="6285" xr:uid="{00000000-0005-0000-0000-0000D64A0000}"/>
    <cellStyle name="Normal 13 3 4 3 2" xfId="15106" xr:uid="{00000000-0005-0000-0000-0000D74A0000}"/>
    <cellStyle name="Normal 13 3 4 4" xfId="10699" xr:uid="{00000000-0005-0000-0000-0000D84A0000}"/>
    <cellStyle name="Normal 13 3 5" xfId="1431" xr:uid="{00000000-0005-0000-0000-0000D94A0000}"/>
    <cellStyle name="Normal 13 3 5 2" xfId="3358" xr:uid="{00000000-0005-0000-0000-0000DA4A0000}"/>
    <cellStyle name="Normal 13 3 5 2 2" xfId="7752" xr:uid="{00000000-0005-0000-0000-0000DB4A0000}"/>
    <cellStyle name="Normal 13 3 5 2 2 2" xfId="16573" xr:uid="{00000000-0005-0000-0000-0000DC4A0000}"/>
    <cellStyle name="Normal 13 3 5 2 3" xfId="12166" xr:uid="{00000000-0005-0000-0000-0000DD4A0000}"/>
    <cellStyle name="Normal 13 3 5 3" xfId="5547" xr:uid="{00000000-0005-0000-0000-0000DE4A0000}"/>
    <cellStyle name="Normal 13 3 5 3 2" xfId="14368" xr:uid="{00000000-0005-0000-0000-0000DF4A0000}"/>
    <cellStyle name="Normal 13 3 5 4" xfId="9961" xr:uid="{00000000-0005-0000-0000-0000E04A0000}"/>
    <cellStyle name="Normal 13 3 6" xfId="2622" xr:uid="{00000000-0005-0000-0000-0000E14A0000}"/>
    <cellStyle name="Normal 13 3 6 2" xfId="7015" xr:uid="{00000000-0005-0000-0000-0000E24A0000}"/>
    <cellStyle name="Normal 13 3 6 2 2" xfId="15836" xr:uid="{00000000-0005-0000-0000-0000E34A0000}"/>
    <cellStyle name="Normal 13 3 6 3" xfId="11429" xr:uid="{00000000-0005-0000-0000-0000E44A0000}"/>
    <cellStyle name="Normal 13 3 7" xfId="4810" xr:uid="{00000000-0005-0000-0000-0000E54A0000}"/>
    <cellStyle name="Normal 13 3 7 2" xfId="13631" xr:uid="{00000000-0005-0000-0000-0000E64A0000}"/>
    <cellStyle name="Normal 13 3 8" xfId="9224" xr:uid="{00000000-0005-0000-0000-0000E74A0000}"/>
    <cellStyle name="Normal 13 3 9" xfId="18082" xr:uid="{00000000-0005-0000-0000-0000E84A0000}"/>
    <cellStyle name="Normal 13 4" xfId="723" xr:uid="{00000000-0005-0000-0000-0000E94A0000}"/>
    <cellStyle name="Normal 13 4 10" xfId="29260" xr:uid="{00000000-0005-0000-0000-0000EA4A0000}"/>
    <cellStyle name="Normal 13 4 2" xfId="1193" xr:uid="{00000000-0005-0000-0000-0000EB4A0000}"/>
    <cellStyle name="Normal 13 4 2 2" xfId="2399" xr:uid="{00000000-0005-0000-0000-0000EC4A0000}"/>
    <cellStyle name="Normal 13 4 2 2 2" xfId="4529" xr:uid="{00000000-0005-0000-0000-0000ED4A0000}"/>
    <cellStyle name="Normal 13 4 2 2 2 2" xfId="8951" xr:uid="{00000000-0005-0000-0000-0000EE4A0000}"/>
    <cellStyle name="Normal 13 4 2 2 2 2 2" xfId="17772" xr:uid="{00000000-0005-0000-0000-0000EF4A0000}"/>
    <cellStyle name="Normal 13 4 2 2 2 3" xfId="13365" xr:uid="{00000000-0005-0000-0000-0000F04A0000}"/>
    <cellStyle name="Normal 13 4 2 2 3" xfId="6746" xr:uid="{00000000-0005-0000-0000-0000F14A0000}"/>
    <cellStyle name="Normal 13 4 2 2 3 2" xfId="15567" xr:uid="{00000000-0005-0000-0000-0000F24A0000}"/>
    <cellStyle name="Normal 13 4 2 2 4" xfId="11160" xr:uid="{00000000-0005-0000-0000-0000F34A0000}"/>
    <cellStyle name="Normal 13 4 2 3" xfId="1863" xr:uid="{00000000-0005-0000-0000-0000F44A0000}"/>
    <cellStyle name="Normal 13 4 2 3 2" xfId="3819" xr:uid="{00000000-0005-0000-0000-0000F54A0000}"/>
    <cellStyle name="Normal 13 4 2 3 2 2" xfId="8213" xr:uid="{00000000-0005-0000-0000-0000F64A0000}"/>
    <cellStyle name="Normal 13 4 2 3 2 2 2" xfId="17034" xr:uid="{00000000-0005-0000-0000-0000F74A0000}"/>
    <cellStyle name="Normal 13 4 2 3 2 3" xfId="12627" xr:uid="{00000000-0005-0000-0000-0000F84A0000}"/>
    <cellStyle name="Normal 13 4 2 3 3" xfId="6008" xr:uid="{00000000-0005-0000-0000-0000F94A0000}"/>
    <cellStyle name="Normal 13 4 2 3 3 2" xfId="14829" xr:uid="{00000000-0005-0000-0000-0000FA4A0000}"/>
    <cellStyle name="Normal 13 4 2 3 4" xfId="10422" xr:uid="{00000000-0005-0000-0000-0000FB4A0000}"/>
    <cellStyle name="Normal 13 4 2 4" xfId="3082" xr:uid="{00000000-0005-0000-0000-0000FC4A0000}"/>
    <cellStyle name="Normal 13 4 2 4 2" xfId="7476" xr:uid="{00000000-0005-0000-0000-0000FD4A0000}"/>
    <cellStyle name="Normal 13 4 2 4 2 2" xfId="16297" xr:uid="{00000000-0005-0000-0000-0000FE4A0000}"/>
    <cellStyle name="Normal 13 4 2 4 3" xfId="11890" xr:uid="{00000000-0005-0000-0000-0000FF4A0000}"/>
    <cellStyle name="Normal 13 4 2 5" xfId="5271" xr:uid="{00000000-0005-0000-0000-0000004B0000}"/>
    <cellStyle name="Normal 13 4 2 5 2" xfId="14092" xr:uid="{00000000-0005-0000-0000-0000014B0000}"/>
    <cellStyle name="Normal 13 4 2 6" xfId="9685" xr:uid="{00000000-0005-0000-0000-0000024B0000}"/>
    <cellStyle name="Normal 13 4 3" xfId="2138" xr:uid="{00000000-0005-0000-0000-0000034B0000}"/>
    <cellStyle name="Normal 13 4 3 2" xfId="4174" xr:uid="{00000000-0005-0000-0000-0000044B0000}"/>
    <cellStyle name="Normal 13 4 3 2 2" xfId="8582" xr:uid="{00000000-0005-0000-0000-0000054B0000}"/>
    <cellStyle name="Normal 13 4 3 2 2 2" xfId="17403" xr:uid="{00000000-0005-0000-0000-0000064B0000}"/>
    <cellStyle name="Normal 13 4 3 2 3" xfId="12996" xr:uid="{00000000-0005-0000-0000-0000074B0000}"/>
    <cellStyle name="Normal 13 4 3 3" xfId="6377" xr:uid="{00000000-0005-0000-0000-0000084B0000}"/>
    <cellStyle name="Normal 13 4 3 3 2" xfId="15198" xr:uid="{00000000-0005-0000-0000-0000094B0000}"/>
    <cellStyle name="Normal 13 4 3 4" xfId="10791" xr:uid="{00000000-0005-0000-0000-00000A4B0000}"/>
    <cellStyle name="Normal 13 4 4" xfId="1508" xr:uid="{00000000-0005-0000-0000-00000B4B0000}"/>
    <cellStyle name="Normal 13 4 4 2" xfId="3450" xr:uid="{00000000-0005-0000-0000-00000C4B0000}"/>
    <cellStyle name="Normal 13 4 4 2 2" xfId="7844" xr:uid="{00000000-0005-0000-0000-00000D4B0000}"/>
    <cellStyle name="Normal 13 4 4 2 2 2" xfId="16665" xr:uid="{00000000-0005-0000-0000-00000E4B0000}"/>
    <cellStyle name="Normal 13 4 4 2 3" xfId="12258" xr:uid="{00000000-0005-0000-0000-00000F4B0000}"/>
    <cellStyle name="Normal 13 4 4 3" xfId="5639" xr:uid="{00000000-0005-0000-0000-0000104B0000}"/>
    <cellStyle name="Normal 13 4 4 3 2" xfId="14460" xr:uid="{00000000-0005-0000-0000-0000114B0000}"/>
    <cellStyle name="Normal 13 4 4 4" xfId="10053" xr:uid="{00000000-0005-0000-0000-0000124B0000}"/>
    <cellStyle name="Normal 13 4 5" xfId="2714" xr:uid="{00000000-0005-0000-0000-0000134B0000}"/>
    <cellStyle name="Normal 13 4 5 2" xfId="7107" xr:uid="{00000000-0005-0000-0000-0000144B0000}"/>
    <cellStyle name="Normal 13 4 5 2 2" xfId="15928" xr:uid="{00000000-0005-0000-0000-0000154B0000}"/>
    <cellStyle name="Normal 13 4 5 3" xfId="11521" xr:uid="{00000000-0005-0000-0000-0000164B0000}"/>
    <cellStyle name="Normal 13 4 6" xfId="4902" xr:uid="{00000000-0005-0000-0000-0000174B0000}"/>
    <cellStyle name="Normal 13 4 6 2" xfId="13723" xr:uid="{00000000-0005-0000-0000-0000184B0000}"/>
    <cellStyle name="Normal 13 4 7" xfId="9316" xr:uid="{00000000-0005-0000-0000-0000194B0000}"/>
    <cellStyle name="Normal 13 4 8" xfId="18083" xr:uid="{00000000-0005-0000-0000-00001A4B0000}"/>
    <cellStyle name="Normal 13 4 9" xfId="28339" xr:uid="{00000000-0005-0000-0000-00001B4B0000}"/>
    <cellStyle name="Normal 13 5" xfId="1061" xr:uid="{00000000-0005-0000-0000-00001C4B0000}"/>
    <cellStyle name="Normal 13 5 2" xfId="2267" xr:uid="{00000000-0005-0000-0000-00001D4B0000}"/>
    <cellStyle name="Normal 13 5 2 2" xfId="4345" xr:uid="{00000000-0005-0000-0000-00001E4B0000}"/>
    <cellStyle name="Normal 13 5 2 2 2" xfId="8766" xr:uid="{00000000-0005-0000-0000-00001F4B0000}"/>
    <cellStyle name="Normal 13 5 2 2 2 2" xfId="17587" xr:uid="{00000000-0005-0000-0000-0000204B0000}"/>
    <cellStyle name="Normal 13 5 2 2 3" xfId="13180" xr:uid="{00000000-0005-0000-0000-0000214B0000}"/>
    <cellStyle name="Normal 13 5 2 3" xfId="6561" xr:uid="{00000000-0005-0000-0000-0000224B0000}"/>
    <cellStyle name="Normal 13 5 2 3 2" xfId="15382" xr:uid="{00000000-0005-0000-0000-0000234B0000}"/>
    <cellStyle name="Normal 13 5 2 4" xfId="10975" xr:uid="{00000000-0005-0000-0000-0000244B0000}"/>
    <cellStyle name="Normal 13 5 3" xfId="1679" xr:uid="{00000000-0005-0000-0000-0000254B0000}"/>
    <cellStyle name="Normal 13 5 3 2" xfId="3634" xr:uid="{00000000-0005-0000-0000-0000264B0000}"/>
    <cellStyle name="Normal 13 5 3 2 2" xfId="8028" xr:uid="{00000000-0005-0000-0000-0000274B0000}"/>
    <cellStyle name="Normal 13 5 3 2 2 2" xfId="16849" xr:uid="{00000000-0005-0000-0000-0000284B0000}"/>
    <cellStyle name="Normal 13 5 3 2 3" xfId="12442" xr:uid="{00000000-0005-0000-0000-0000294B0000}"/>
    <cellStyle name="Normal 13 5 3 3" xfId="5823" xr:uid="{00000000-0005-0000-0000-00002A4B0000}"/>
    <cellStyle name="Normal 13 5 3 3 2" xfId="14644" xr:uid="{00000000-0005-0000-0000-00002B4B0000}"/>
    <cellStyle name="Normal 13 5 3 4" xfId="10237" xr:uid="{00000000-0005-0000-0000-00002C4B0000}"/>
    <cellStyle name="Normal 13 5 4" xfId="2897" xr:uid="{00000000-0005-0000-0000-00002D4B0000}"/>
    <cellStyle name="Normal 13 5 4 2" xfId="7291" xr:uid="{00000000-0005-0000-0000-00002E4B0000}"/>
    <cellStyle name="Normal 13 5 4 2 2" xfId="16112" xr:uid="{00000000-0005-0000-0000-00002F4B0000}"/>
    <cellStyle name="Normal 13 5 4 3" xfId="11705" xr:uid="{00000000-0005-0000-0000-0000304B0000}"/>
    <cellStyle name="Normal 13 5 5" xfId="5086" xr:uid="{00000000-0005-0000-0000-0000314B0000}"/>
    <cellStyle name="Normal 13 5 5 2" xfId="13907" xr:uid="{00000000-0005-0000-0000-0000324B0000}"/>
    <cellStyle name="Normal 13 5 6" xfId="9500" xr:uid="{00000000-0005-0000-0000-0000334B0000}"/>
    <cellStyle name="Normal 13 5 7" xfId="28340" xr:uid="{00000000-0005-0000-0000-0000344B0000}"/>
    <cellStyle name="Normal 13 5 8" xfId="29261" xr:uid="{00000000-0005-0000-0000-0000354B0000}"/>
    <cellStyle name="Normal 13 6" xfId="2033" xr:uid="{00000000-0005-0000-0000-0000364B0000}"/>
    <cellStyle name="Normal 13 6 2" xfId="3991" xr:uid="{00000000-0005-0000-0000-0000374B0000}"/>
    <cellStyle name="Normal 13 6 2 2" xfId="8397" xr:uid="{00000000-0005-0000-0000-0000384B0000}"/>
    <cellStyle name="Normal 13 6 2 2 2" xfId="17218" xr:uid="{00000000-0005-0000-0000-0000394B0000}"/>
    <cellStyle name="Normal 13 6 2 3" xfId="12811" xr:uid="{00000000-0005-0000-0000-00003A4B0000}"/>
    <cellStyle name="Normal 13 6 3" xfId="6192" xr:uid="{00000000-0005-0000-0000-00003B4B0000}"/>
    <cellStyle name="Normal 13 6 3 2" xfId="15013" xr:uid="{00000000-0005-0000-0000-00003C4B0000}"/>
    <cellStyle name="Normal 13 6 4" xfId="10606" xr:uid="{00000000-0005-0000-0000-00003D4B0000}"/>
    <cellStyle name="Normal 13 7" xfId="1365" xr:uid="{00000000-0005-0000-0000-00003E4B0000}"/>
    <cellStyle name="Normal 13 7 2" xfId="3265" xr:uid="{00000000-0005-0000-0000-00003F4B0000}"/>
    <cellStyle name="Normal 13 7 2 2" xfId="7659" xr:uid="{00000000-0005-0000-0000-0000404B0000}"/>
    <cellStyle name="Normal 13 7 2 2 2" xfId="16480" xr:uid="{00000000-0005-0000-0000-0000414B0000}"/>
    <cellStyle name="Normal 13 7 2 3" xfId="12073" xr:uid="{00000000-0005-0000-0000-0000424B0000}"/>
    <cellStyle name="Normal 13 7 3" xfId="5454" xr:uid="{00000000-0005-0000-0000-0000434B0000}"/>
    <cellStyle name="Normal 13 7 3 2" xfId="14275" xr:uid="{00000000-0005-0000-0000-0000444B0000}"/>
    <cellStyle name="Normal 13 7 4" xfId="9868" xr:uid="{00000000-0005-0000-0000-0000454B0000}"/>
    <cellStyle name="Normal 13 8" xfId="2546" xr:uid="{00000000-0005-0000-0000-0000464B0000}"/>
    <cellStyle name="Normal 13 8 2" xfId="6938" xr:uid="{00000000-0005-0000-0000-0000474B0000}"/>
    <cellStyle name="Normal 13 8 2 2" xfId="15759" xr:uid="{00000000-0005-0000-0000-0000484B0000}"/>
    <cellStyle name="Normal 13 8 3" xfId="11352" xr:uid="{00000000-0005-0000-0000-0000494B0000}"/>
    <cellStyle name="Normal 13 9" xfId="4730" xr:uid="{00000000-0005-0000-0000-00004A4B0000}"/>
    <cellStyle name="Normal 13 9 2" xfId="13551" xr:uid="{00000000-0005-0000-0000-00004B4B0000}"/>
    <cellStyle name="Normal 130" xfId="26675" xr:uid="{00000000-0005-0000-0000-00004C4B0000}"/>
    <cellStyle name="Normal 131" xfId="26654" xr:uid="{00000000-0005-0000-0000-00004D4B0000}"/>
    <cellStyle name="Normal 132" xfId="26680" xr:uid="{00000000-0005-0000-0000-00004E4B0000}"/>
    <cellStyle name="Normal 133" xfId="26662" xr:uid="{00000000-0005-0000-0000-00004F4B0000}"/>
    <cellStyle name="Normal 134" xfId="26657" xr:uid="{00000000-0005-0000-0000-0000504B0000}"/>
    <cellStyle name="Normal 135" xfId="26677" xr:uid="{00000000-0005-0000-0000-0000514B0000}"/>
    <cellStyle name="Normal 136" xfId="26663" xr:uid="{00000000-0005-0000-0000-0000524B0000}"/>
    <cellStyle name="Normal 136 2" xfId="27220" xr:uid="{00000000-0005-0000-0000-0000534B0000}"/>
    <cellStyle name="Normal 136 3" xfId="26682" xr:uid="{00000000-0005-0000-0000-0000544B0000}"/>
    <cellStyle name="Normal 136 4" xfId="27145" xr:uid="{00000000-0005-0000-0000-0000554B0000}"/>
    <cellStyle name="Normal 136 5" xfId="27164" xr:uid="{00000000-0005-0000-0000-0000564B0000}"/>
    <cellStyle name="Normal 136 6" xfId="27150" xr:uid="{00000000-0005-0000-0000-0000574B0000}"/>
    <cellStyle name="Normal 136 7" xfId="27134" xr:uid="{00000000-0005-0000-0000-0000584B0000}"/>
    <cellStyle name="Normal 137" xfId="24466" xr:uid="{00000000-0005-0000-0000-0000594B0000}"/>
    <cellStyle name="Normal 138" xfId="27071" xr:uid="{00000000-0005-0000-0000-00005A4B0000}"/>
    <cellStyle name="Normal 139" xfId="27070" xr:uid="{00000000-0005-0000-0000-00005B4B0000}"/>
    <cellStyle name="Normal 14" xfId="63" xr:uid="{00000000-0005-0000-0000-00005C4B0000}"/>
    <cellStyle name="Normal 14 10" xfId="9138" xr:uid="{00000000-0005-0000-0000-00005D4B0000}"/>
    <cellStyle name="Normal 14 11" xfId="1264" xr:uid="{00000000-0005-0000-0000-00005E4B0000}"/>
    <cellStyle name="Normal 14 12" xfId="18084" xr:uid="{00000000-0005-0000-0000-00005F4B0000}"/>
    <cellStyle name="Normal 14 2" xfId="64" xr:uid="{00000000-0005-0000-0000-0000604B0000}"/>
    <cellStyle name="Normal 14 2 10" xfId="1181" xr:uid="{00000000-0005-0000-0000-0000614B0000}"/>
    <cellStyle name="Normal 14 2 2" xfId="1315" xr:uid="{00000000-0005-0000-0000-0000624B0000}"/>
    <cellStyle name="Normal 14 2 2 10" xfId="27523" xr:uid="{00000000-0005-0000-0000-0000634B0000}"/>
    <cellStyle name="Normal 14 2 2 2" xfId="1307" xr:uid="{00000000-0005-0000-0000-0000644B0000}"/>
    <cellStyle name="Normal 14 2 2 2 2" xfId="1341" xr:uid="{00000000-0005-0000-0000-0000654B0000}"/>
    <cellStyle name="Normal 14 2 2 2 2 2" xfId="2503" xr:uid="{00000000-0005-0000-0000-0000664B0000}"/>
    <cellStyle name="Normal 14 2 2 2 2 2 2" xfId="4674" xr:uid="{00000000-0005-0000-0000-0000674B0000}"/>
    <cellStyle name="Normal 14 2 2 2 2 2 2 2" xfId="9097" xr:uid="{00000000-0005-0000-0000-0000684B0000}"/>
    <cellStyle name="Normal 14 2 2 2 2 2 2 2 2" xfId="17918" xr:uid="{00000000-0005-0000-0000-0000694B0000}"/>
    <cellStyle name="Normal 14 2 2 2 2 2 2 3" xfId="13511" xr:uid="{00000000-0005-0000-0000-00006A4B0000}"/>
    <cellStyle name="Normal 14 2 2 2 2 2 3" xfId="6892" xr:uid="{00000000-0005-0000-0000-00006B4B0000}"/>
    <cellStyle name="Normal 14 2 2 2 2 2 3 2" xfId="15713" xr:uid="{00000000-0005-0000-0000-00006C4B0000}"/>
    <cellStyle name="Normal 14 2 2 2 2 2 4" xfId="11306" xr:uid="{00000000-0005-0000-0000-00006D4B0000}"/>
    <cellStyle name="Normal 14 2 2 2 2 3" xfId="2008" xr:uid="{00000000-0005-0000-0000-00006E4B0000}"/>
    <cellStyle name="Normal 14 2 2 2 2 3 2" xfId="3965" xr:uid="{00000000-0005-0000-0000-00006F4B0000}"/>
    <cellStyle name="Normal 14 2 2 2 2 3 2 2" xfId="8359" xr:uid="{00000000-0005-0000-0000-0000704B0000}"/>
    <cellStyle name="Normal 14 2 2 2 2 3 2 2 2" xfId="17180" xr:uid="{00000000-0005-0000-0000-0000714B0000}"/>
    <cellStyle name="Normal 14 2 2 2 2 3 2 3" xfId="12773" xr:uid="{00000000-0005-0000-0000-0000724B0000}"/>
    <cellStyle name="Normal 14 2 2 2 2 3 3" xfId="6154" xr:uid="{00000000-0005-0000-0000-0000734B0000}"/>
    <cellStyle name="Normal 14 2 2 2 2 3 3 2" xfId="14975" xr:uid="{00000000-0005-0000-0000-0000744B0000}"/>
    <cellStyle name="Normal 14 2 2 2 2 3 4" xfId="10568" xr:uid="{00000000-0005-0000-0000-0000754B0000}"/>
    <cellStyle name="Normal 14 2 2 2 2 4" xfId="3228" xr:uid="{00000000-0005-0000-0000-0000764B0000}"/>
    <cellStyle name="Normal 14 2 2 2 2 4 2" xfId="7622" xr:uid="{00000000-0005-0000-0000-0000774B0000}"/>
    <cellStyle name="Normal 14 2 2 2 2 4 2 2" xfId="16443" xr:uid="{00000000-0005-0000-0000-0000784B0000}"/>
    <cellStyle name="Normal 14 2 2 2 2 4 3" xfId="12036" xr:uid="{00000000-0005-0000-0000-0000794B0000}"/>
    <cellStyle name="Normal 14 2 2 2 2 5" xfId="5417" xr:uid="{00000000-0005-0000-0000-00007A4B0000}"/>
    <cellStyle name="Normal 14 2 2 2 2 5 2" xfId="14238" xr:uid="{00000000-0005-0000-0000-00007B4B0000}"/>
    <cellStyle name="Normal 14 2 2 2 2 6" xfId="9831" xr:uid="{00000000-0005-0000-0000-00007C4B0000}"/>
    <cellStyle name="Normal 14 2 2 2 3" xfId="2242" xr:uid="{00000000-0005-0000-0000-00007D4B0000}"/>
    <cellStyle name="Normal 14 2 2 2 3 2" xfId="4319" xr:uid="{00000000-0005-0000-0000-00007E4B0000}"/>
    <cellStyle name="Normal 14 2 2 2 3 2 2" xfId="8728" xr:uid="{00000000-0005-0000-0000-00007F4B0000}"/>
    <cellStyle name="Normal 14 2 2 2 3 2 2 2" xfId="17549" xr:uid="{00000000-0005-0000-0000-0000804B0000}"/>
    <cellStyle name="Normal 14 2 2 2 3 2 3" xfId="13142" xr:uid="{00000000-0005-0000-0000-0000814B0000}"/>
    <cellStyle name="Normal 14 2 2 2 3 3" xfId="6523" xr:uid="{00000000-0005-0000-0000-0000824B0000}"/>
    <cellStyle name="Normal 14 2 2 2 3 3 2" xfId="15344" xr:uid="{00000000-0005-0000-0000-0000834B0000}"/>
    <cellStyle name="Normal 14 2 2 2 3 4" xfId="10937" xr:uid="{00000000-0005-0000-0000-0000844B0000}"/>
    <cellStyle name="Normal 14 2 2 2 4" xfId="1653" xr:uid="{00000000-0005-0000-0000-0000854B0000}"/>
    <cellStyle name="Normal 14 2 2 2 4 2" xfId="3596" xr:uid="{00000000-0005-0000-0000-0000864B0000}"/>
    <cellStyle name="Normal 14 2 2 2 4 2 2" xfId="7990" xr:uid="{00000000-0005-0000-0000-0000874B0000}"/>
    <cellStyle name="Normal 14 2 2 2 4 2 2 2" xfId="16811" xr:uid="{00000000-0005-0000-0000-0000884B0000}"/>
    <cellStyle name="Normal 14 2 2 2 4 2 3" xfId="12404" xr:uid="{00000000-0005-0000-0000-0000894B0000}"/>
    <cellStyle name="Normal 14 2 2 2 4 3" xfId="5785" xr:uid="{00000000-0005-0000-0000-00008A4B0000}"/>
    <cellStyle name="Normal 14 2 2 2 4 3 2" xfId="14606" xr:uid="{00000000-0005-0000-0000-00008B4B0000}"/>
    <cellStyle name="Normal 14 2 2 2 4 4" xfId="10199" xr:uid="{00000000-0005-0000-0000-00008C4B0000}"/>
    <cellStyle name="Normal 14 2 2 2 5" xfId="2859" xr:uid="{00000000-0005-0000-0000-00008D4B0000}"/>
    <cellStyle name="Normal 14 2 2 2 5 2" xfId="7253" xr:uid="{00000000-0005-0000-0000-00008E4B0000}"/>
    <cellStyle name="Normal 14 2 2 2 5 2 2" xfId="16074" xr:uid="{00000000-0005-0000-0000-00008F4B0000}"/>
    <cellStyle name="Normal 14 2 2 2 5 3" xfId="11667" xr:uid="{00000000-0005-0000-0000-0000904B0000}"/>
    <cellStyle name="Normal 14 2 2 2 6" xfId="5048" xr:uid="{00000000-0005-0000-0000-0000914B0000}"/>
    <cellStyle name="Normal 14 2 2 2 6 2" xfId="13869" xr:uid="{00000000-0005-0000-0000-0000924B0000}"/>
    <cellStyle name="Normal 14 2 2 2 7" xfId="9462" xr:uid="{00000000-0005-0000-0000-0000934B0000}"/>
    <cellStyle name="Normal 14 2 2 3" xfId="1073" xr:uid="{00000000-0005-0000-0000-0000944B0000}"/>
    <cellStyle name="Normal 14 2 2 3 2" xfId="2372" xr:uid="{00000000-0005-0000-0000-0000954B0000}"/>
    <cellStyle name="Normal 14 2 2 3 2 2" xfId="4490" xr:uid="{00000000-0005-0000-0000-0000964B0000}"/>
    <cellStyle name="Normal 14 2 2 3 2 2 2" xfId="8912" xr:uid="{00000000-0005-0000-0000-0000974B0000}"/>
    <cellStyle name="Normal 14 2 2 3 2 2 2 2" xfId="17733" xr:uid="{00000000-0005-0000-0000-0000984B0000}"/>
    <cellStyle name="Normal 14 2 2 3 2 2 3" xfId="13326" xr:uid="{00000000-0005-0000-0000-0000994B0000}"/>
    <cellStyle name="Normal 14 2 2 3 2 3" xfId="6707" xr:uid="{00000000-0005-0000-0000-00009A4B0000}"/>
    <cellStyle name="Normal 14 2 2 3 2 3 2" xfId="15528" xr:uid="{00000000-0005-0000-0000-00009B4B0000}"/>
    <cellStyle name="Normal 14 2 2 3 2 4" xfId="11121" xr:uid="{00000000-0005-0000-0000-00009C4B0000}"/>
    <cellStyle name="Normal 14 2 2 3 3" xfId="1824" xr:uid="{00000000-0005-0000-0000-00009D4B0000}"/>
    <cellStyle name="Normal 14 2 2 3 3 2" xfId="3780" xr:uid="{00000000-0005-0000-0000-00009E4B0000}"/>
    <cellStyle name="Normal 14 2 2 3 3 2 2" xfId="8174" xr:uid="{00000000-0005-0000-0000-00009F4B0000}"/>
    <cellStyle name="Normal 14 2 2 3 3 2 2 2" xfId="16995" xr:uid="{00000000-0005-0000-0000-0000A04B0000}"/>
    <cellStyle name="Normal 14 2 2 3 3 2 3" xfId="12588" xr:uid="{00000000-0005-0000-0000-0000A14B0000}"/>
    <cellStyle name="Normal 14 2 2 3 3 3" xfId="5969" xr:uid="{00000000-0005-0000-0000-0000A24B0000}"/>
    <cellStyle name="Normal 14 2 2 3 3 3 2" xfId="14790" xr:uid="{00000000-0005-0000-0000-0000A34B0000}"/>
    <cellStyle name="Normal 14 2 2 3 3 4" xfId="10383" xr:uid="{00000000-0005-0000-0000-0000A44B0000}"/>
    <cellStyle name="Normal 14 2 2 3 4" xfId="3043" xr:uid="{00000000-0005-0000-0000-0000A54B0000}"/>
    <cellStyle name="Normal 14 2 2 3 4 2" xfId="7437" xr:uid="{00000000-0005-0000-0000-0000A64B0000}"/>
    <cellStyle name="Normal 14 2 2 3 4 2 2" xfId="16258" xr:uid="{00000000-0005-0000-0000-0000A74B0000}"/>
    <cellStyle name="Normal 14 2 2 3 4 3" xfId="11851" xr:uid="{00000000-0005-0000-0000-0000A84B0000}"/>
    <cellStyle name="Normal 14 2 2 3 5" xfId="5232" xr:uid="{00000000-0005-0000-0000-0000A94B0000}"/>
    <cellStyle name="Normal 14 2 2 3 5 2" xfId="14053" xr:uid="{00000000-0005-0000-0000-0000AA4B0000}"/>
    <cellStyle name="Normal 14 2 2 3 6" xfId="9646" xr:uid="{00000000-0005-0000-0000-0000AB4B0000}"/>
    <cellStyle name="Normal 14 2 2 4" xfId="2111" xr:uid="{00000000-0005-0000-0000-0000AC4B0000}"/>
    <cellStyle name="Normal 14 2 2 4 2" xfId="4135" xr:uid="{00000000-0005-0000-0000-0000AD4B0000}"/>
    <cellStyle name="Normal 14 2 2 4 2 2" xfId="8543" xr:uid="{00000000-0005-0000-0000-0000AE4B0000}"/>
    <cellStyle name="Normal 14 2 2 4 2 2 2" xfId="17364" xr:uid="{00000000-0005-0000-0000-0000AF4B0000}"/>
    <cellStyle name="Normal 14 2 2 4 2 3" xfId="12957" xr:uid="{00000000-0005-0000-0000-0000B04B0000}"/>
    <cellStyle name="Normal 14 2 2 4 3" xfId="6338" xr:uid="{00000000-0005-0000-0000-0000B14B0000}"/>
    <cellStyle name="Normal 14 2 2 4 3 2" xfId="15159" xr:uid="{00000000-0005-0000-0000-0000B24B0000}"/>
    <cellStyle name="Normal 14 2 2 4 4" xfId="10752" xr:uid="{00000000-0005-0000-0000-0000B34B0000}"/>
    <cellStyle name="Normal 14 2 2 5" xfId="1469" xr:uid="{00000000-0005-0000-0000-0000B44B0000}"/>
    <cellStyle name="Normal 14 2 2 5 2" xfId="3411" xr:uid="{00000000-0005-0000-0000-0000B54B0000}"/>
    <cellStyle name="Normal 14 2 2 5 2 2" xfId="7805" xr:uid="{00000000-0005-0000-0000-0000B64B0000}"/>
    <cellStyle name="Normal 14 2 2 5 2 2 2" xfId="16626" xr:uid="{00000000-0005-0000-0000-0000B74B0000}"/>
    <cellStyle name="Normal 14 2 2 5 2 3" xfId="12219" xr:uid="{00000000-0005-0000-0000-0000B84B0000}"/>
    <cellStyle name="Normal 14 2 2 5 3" xfId="5600" xr:uid="{00000000-0005-0000-0000-0000B94B0000}"/>
    <cellStyle name="Normal 14 2 2 5 3 2" xfId="14421" xr:uid="{00000000-0005-0000-0000-0000BA4B0000}"/>
    <cellStyle name="Normal 14 2 2 5 4" xfId="10014" xr:uid="{00000000-0005-0000-0000-0000BB4B0000}"/>
    <cellStyle name="Normal 14 2 2 6" xfId="2675" xr:uid="{00000000-0005-0000-0000-0000BC4B0000}"/>
    <cellStyle name="Normal 14 2 2 6 2" xfId="7068" xr:uid="{00000000-0005-0000-0000-0000BD4B0000}"/>
    <cellStyle name="Normal 14 2 2 6 2 2" xfId="15889" xr:uid="{00000000-0005-0000-0000-0000BE4B0000}"/>
    <cellStyle name="Normal 14 2 2 6 3" xfId="11482" xr:uid="{00000000-0005-0000-0000-0000BF4B0000}"/>
    <cellStyle name="Normal 14 2 2 7" xfId="4863" xr:uid="{00000000-0005-0000-0000-0000C04B0000}"/>
    <cellStyle name="Normal 14 2 2 7 2" xfId="13684" xr:uid="{00000000-0005-0000-0000-0000C14B0000}"/>
    <cellStyle name="Normal 14 2 2 8" xfId="9277" xr:uid="{00000000-0005-0000-0000-0000C24B0000}"/>
    <cellStyle name="Normal 14 2 2 9" xfId="27520" xr:uid="{00000000-0005-0000-0000-0000C34B0000}"/>
    <cellStyle name="Normal 14 2 3" xfId="1219" xr:uid="{00000000-0005-0000-0000-0000C44B0000}"/>
    <cellStyle name="Normal 14 2 3 2" xfId="1238" xr:uid="{00000000-0005-0000-0000-0000C54B0000}"/>
    <cellStyle name="Normal 14 2 3 2 2" xfId="2438" xr:uid="{00000000-0005-0000-0000-0000C64B0000}"/>
    <cellStyle name="Normal 14 2 3 2 2 2" xfId="4582" xr:uid="{00000000-0005-0000-0000-0000C74B0000}"/>
    <cellStyle name="Normal 14 2 3 2 2 2 2" xfId="9005" xr:uid="{00000000-0005-0000-0000-0000C84B0000}"/>
    <cellStyle name="Normal 14 2 3 2 2 2 2 2" xfId="17826" xr:uid="{00000000-0005-0000-0000-0000C94B0000}"/>
    <cellStyle name="Normal 14 2 3 2 2 2 3" xfId="13419" xr:uid="{00000000-0005-0000-0000-0000CA4B0000}"/>
    <cellStyle name="Normal 14 2 3 2 2 3" xfId="6800" xr:uid="{00000000-0005-0000-0000-0000CB4B0000}"/>
    <cellStyle name="Normal 14 2 3 2 2 3 2" xfId="15621" xr:uid="{00000000-0005-0000-0000-0000CC4B0000}"/>
    <cellStyle name="Normal 14 2 3 2 2 4" xfId="11214" xr:uid="{00000000-0005-0000-0000-0000CD4B0000}"/>
    <cellStyle name="Normal 14 2 3 2 3" xfId="1916" xr:uid="{00000000-0005-0000-0000-0000CE4B0000}"/>
    <cellStyle name="Normal 14 2 3 2 3 2" xfId="3873" xr:uid="{00000000-0005-0000-0000-0000CF4B0000}"/>
    <cellStyle name="Normal 14 2 3 2 3 2 2" xfId="8267" xr:uid="{00000000-0005-0000-0000-0000D04B0000}"/>
    <cellStyle name="Normal 14 2 3 2 3 2 2 2" xfId="17088" xr:uid="{00000000-0005-0000-0000-0000D14B0000}"/>
    <cellStyle name="Normal 14 2 3 2 3 2 3" xfId="12681" xr:uid="{00000000-0005-0000-0000-0000D24B0000}"/>
    <cellStyle name="Normal 14 2 3 2 3 3" xfId="6062" xr:uid="{00000000-0005-0000-0000-0000D34B0000}"/>
    <cellStyle name="Normal 14 2 3 2 3 3 2" xfId="14883" xr:uid="{00000000-0005-0000-0000-0000D44B0000}"/>
    <cellStyle name="Normal 14 2 3 2 3 4" xfId="10476" xr:uid="{00000000-0005-0000-0000-0000D54B0000}"/>
    <cellStyle name="Normal 14 2 3 2 4" xfId="3136" xr:uid="{00000000-0005-0000-0000-0000D64B0000}"/>
    <cellStyle name="Normal 14 2 3 2 4 2" xfId="7530" xr:uid="{00000000-0005-0000-0000-0000D74B0000}"/>
    <cellStyle name="Normal 14 2 3 2 4 2 2" xfId="16351" xr:uid="{00000000-0005-0000-0000-0000D84B0000}"/>
    <cellStyle name="Normal 14 2 3 2 4 3" xfId="11944" xr:uid="{00000000-0005-0000-0000-0000D94B0000}"/>
    <cellStyle name="Normal 14 2 3 2 5" xfId="5325" xr:uid="{00000000-0005-0000-0000-0000DA4B0000}"/>
    <cellStyle name="Normal 14 2 3 2 5 2" xfId="14146" xr:uid="{00000000-0005-0000-0000-0000DB4B0000}"/>
    <cellStyle name="Normal 14 2 3 2 6" xfId="9739" xr:uid="{00000000-0005-0000-0000-0000DC4B0000}"/>
    <cellStyle name="Normal 14 2 3 3" xfId="2177" xr:uid="{00000000-0005-0000-0000-0000DD4B0000}"/>
    <cellStyle name="Normal 14 2 3 3 2" xfId="4227" xr:uid="{00000000-0005-0000-0000-0000DE4B0000}"/>
    <cellStyle name="Normal 14 2 3 3 2 2" xfId="8636" xr:uid="{00000000-0005-0000-0000-0000DF4B0000}"/>
    <cellStyle name="Normal 14 2 3 3 2 2 2" xfId="17457" xr:uid="{00000000-0005-0000-0000-0000E04B0000}"/>
    <cellStyle name="Normal 14 2 3 3 2 3" xfId="13050" xr:uid="{00000000-0005-0000-0000-0000E14B0000}"/>
    <cellStyle name="Normal 14 2 3 3 3" xfId="6431" xr:uid="{00000000-0005-0000-0000-0000E24B0000}"/>
    <cellStyle name="Normal 14 2 3 3 3 2" xfId="15252" xr:uid="{00000000-0005-0000-0000-0000E34B0000}"/>
    <cellStyle name="Normal 14 2 3 3 4" xfId="10845" xr:uid="{00000000-0005-0000-0000-0000E44B0000}"/>
    <cellStyle name="Normal 14 2 3 4" xfId="1561" xr:uid="{00000000-0005-0000-0000-0000E54B0000}"/>
    <cellStyle name="Normal 14 2 3 4 2" xfId="3504" xr:uid="{00000000-0005-0000-0000-0000E64B0000}"/>
    <cellStyle name="Normal 14 2 3 4 2 2" xfId="7898" xr:uid="{00000000-0005-0000-0000-0000E74B0000}"/>
    <cellStyle name="Normal 14 2 3 4 2 2 2" xfId="16719" xr:uid="{00000000-0005-0000-0000-0000E84B0000}"/>
    <cellStyle name="Normal 14 2 3 4 2 3" xfId="12312" xr:uid="{00000000-0005-0000-0000-0000E94B0000}"/>
    <cellStyle name="Normal 14 2 3 4 3" xfId="5693" xr:uid="{00000000-0005-0000-0000-0000EA4B0000}"/>
    <cellStyle name="Normal 14 2 3 4 3 2" xfId="14514" xr:uid="{00000000-0005-0000-0000-0000EB4B0000}"/>
    <cellStyle name="Normal 14 2 3 4 4" xfId="10107" xr:uid="{00000000-0005-0000-0000-0000EC4B0000}"/>
    <cellStyle name="Normal 14 2 3 5" xfId="2767" xr:uid="{00000000-0005-0000-0000-0000ED4B0000}"/>
    <cellStyle name="Normal 14 2 3 5 2" xfId="7161" xr:uid="{00000000-0005-0000-0000-0000EE4B0000}"/>
    <cellStyle name="Normal 14 2 3 5 2 2" xfId="15982" xr:uid="{00000000-0005-0000-0000-0000EF4B0000}"/>
    <cellStyle name="Normal 14 2 3 5 3" xfId="11575" xr:uid="{00000000-0005-0000-0000-0000F04B0000}"/>
    <cellStyle name="Normal 14 2 3 6" xfId="4956" xr:uid="{00000000-0005-0000-0000-0000F14B0000}"/>
    <cellStyle name="Normal 14 2 3 6 2" xfId="13777" xr:uid="{00000000-0005-0000-0000-0000F24B0000}"/>
    <cellStyle name="Normal 14 2 3 7" xfId="9370" xr:uid="{00000000-0005-0000-0000-0000F34B0000}"/>
    <cellStyle name="Normal 14 2 4" xfId="1069" xr:uid="{00000000-0005-0000-0000-0000F44B0000}"/>
    <cellStyle name="Normal 14 2 4 2" xfId="2307" xr:uid="{00000000-0005-0000-0000-0000F54B0000}"/>
    <cellStyle name="Normal 14 2 4 2 2" xfId="4398" xr:uid="{00000000-0005-0000-0000-0000F64B0000}"/>
    <cellStyle name="Normal 14 2 4 2 2 2" xfId="8820" xr:uid="{00000000-0005-0000-0000-0000F74B0000}"/>
    <cellStyle name="Normal 14 2 4 2 2 2 2" xfId="17641" xr:uid="{00000000-0005-0000-0000-0000F84B0000}"/>
    <cellStyle name="Normal 14 2 4 2 2 3" xfId="13234" xr:uid="{00000000-0005-0000-0000-0000F94B0000}"/>
    <cellStyle name="Normal 14 2 4 2 3" xfId="6615" xr:uid="{00000000-0005-0000-0000-0000FA4B0000}"/>
    <cellStyle name="Normal 14 2 4 2 3 2" xfId="15436" xr:uid="{00000000-0005-0000-0000-0000FB4B0000}"/>
    <cellStyle name="Normal 14 2 4 2 4" xfId="11029" xr:uid="{00000000-0005-0000-0000-0000FC4B0000}"/>
    <cellStyle name="Normal 14 2 4 3" xfId="1732" xr:uid="{00000000-0005-0000-0000-0000FD4B0000}"/>
    <cellStyle name="Normal 14 2 4 3 2" xfId="3688" xr:uid="{00000000-0005-0000-0000-0000FE4B0000}"/>
    <cellStyle name="Normal 14 2 4 3 2 2" xfId="8082" xr:uid="{00000000-0005-0000-0000-0000FF4B0000}"/>
    <cellStyle name="Normal 14 2 4 3 2 2 2" xfId="16903" xr:uid="{00000000-0005-0000-0000-0000004C0000}"/>
    <cellStyle name="Normal 14 2 4 3 2 3" xfId="12496" xr:uid="{00000000-0005-0000-0000-0000014C0000}"/>
    <cellStyle name="Normal 14 2 4 3 3" xfId="5877" xr:uid="{00000000-0005-0000-0000-0000024C0000}"/>
    <cellStyle name="Normal 14 2 4 3 3 2" xfId="14698" xr:uid="{00000000-0005-0000-0000-0000034C0000}"/>
    <cellStyle name="Normal 14 2 4 3 4" xfId="10291" xr:uid="{00000000-0005-0000-0000-0000044C0000}"/>
    <cellStyle name="Normal 14 2 4 4" xfId="2951" xr:uid="{00000000-0005-0000-0000-0000054C0000}"/>
    <cellStyle name="Normal 14 2 4 4 2" xfId="7345" xr:uid="{00000000-0005-0000-0000-0000064C0000}"/>
    <cellStyle name="Normal 14 2 4 4 2 2" xfId="16166" xr:uid="{00000000-0005-0000-0000-0000074C0000}"/>
    <cellStyle name="Normal 14 2 4 4 3" xfId="11759" xr:uid="{00000000-0005-0000-0000-0000084C0000}"/>
    <cellStyle name="Normal 14 2 4 5" xfId="5140" xr:uid="{00000000-0005-0000-0000-0000094C0000}"/>
    <cellStyle name="Normal 14 2 4 5 2" xfId="13961" xr:uid="{00000000-0005-0000-0000-00000A4C0000}"/>
    <cellStyle name="Normal 14 2 4 6" xfId="9554" xr:uid="{00000000-0005-0000-0000-00000B4C0000}"/>
    <cellStyle name="Normal 14 2 5" xfId="2058" xr:uid="{00000000-0005-0000-0000-00000C4C0000}"/>
    <cellStyle name="Normal 14 2 5 2" xfId="4043" xr:uid="{00000000-0005-0000-0000-00000D4C0000}"/>
    <cellStyle name="Normal 14 2 5 2 2" xfId="8451" xr:uid="{00000000-0005-0000-0000-00000E4C0000}"/>
    <cellStyle name="Normal 14 2 5 2 2 2" xfId="17272" xr:uid="{00000000-0005-0000-0000-00000F4C0000}"/>
    <cellStyle name="Normal 14 2 5 2 3" xfId="12865" xr:uid="{00000000-0005-0000-0000-0000104C0000}"/>
    <cellStyle name="Normal 14 2 5 3" xfId="6246" xr:uid="{00000000-0005-0000-0000-0000114C0000}"/>
    <cellStyle name="Normal 14 2 5 3 2" xfId="15067" xr:uid="{00000000-0005-0000-0000-0000124C0000}"/>
    <cellStyle name="Normal 14 2 5 4" xfId="10660" xr:uid="{00000000-0005-0000-0000-0000134C0000}"/>
    <cellStyle name="Normal 14 2 6" xfId="1404" xr:uid="{00000000-0005-0000-0000-0000144C0000}"/>
    <cellStyle name="Normal 14 2 6 2" xfId="3319" xr:uid="{00000000-0005-0000-0000-0000154C0000}"/>
    <cellStyle name="Normal 14 2 6 2 2" xfId="7713" xr:uid="{00000000-0005-0000-0000-0000164C0000}"/>
    <cellStyle name="Normal 14 2 6 2 2 2" xfId="16534" xr:uid="{00000000-0005-0000-0000-0000174C0000}"/>
    <cellStyle name="Normal 14 2 6 2 3" xfId="12127" xr:uid="{00000000-0005-0000-0000-0000184C0000}"/>
    <cellStyle name="Normal 14 2 6 3" xfId="5508" xr:uid="{00000000-0005-0000-0000-0000194C0000}"/>
    <cellStyle name="Normal 14 2 6 3 2" xfId="14329" xr:uid="{00000000-0005-0000-0000-00001A4C0000}"/>
    <cellStyle name="Normal 14 2 6 4" xfId="9922" xr:uid="{00000000-0005-0000-0000-00001B4C0000}"/>
    <cellStyle name="Normal 14 2 7" xfId="2583" xr:uid="{00000000-0005-0000-0000-00001C4C0000}"/>
    <cellStyle name="Normal 14 2 7 2" xfId="6976" xr:uid="{00000000-0005-0000-0000-00001D4C0000}"/>
    <cellStyle name="Normal 14 2 7 2 2" xfId="15797" xr:uid="{00000000-0005-0000-0000-00001E4C0000}"/>
    <cellStyle name="Normal 14 2 7 3" xfId="11390" xr:uid="{00000000-0005-0000-0000-00001F4C0000}"/>
    <cellStyle name="Normal 14 2 8" xfId="4771" xr:uid="{00000000-0005-0000-0000-0000204C0000}"/>
    <cellStyle name="Normal 14 2 8 2" xfId="13592" xr:uid="{00000000-0005-0000-0000-0000214C0000}"/>
    <cellStyle name="Normal 14 2 9" xfId="9185" xr:uid="{00000000-0005-0000-0000-0000224C0000}"/>
    <cellStyle name="Normal 14 3" xfId="1275" xr:uid="{00000000-0005-0000-0000-0000234C0000}"/>
    <cellStyle name="Normal 14 3 10" xfId="27517" xr:uid="{00000000-0005-0000-0000-0000244C0000}"/>
    <cellStyle name="Normal 14 3 2" xfId="1214" xr:uid="{00000000-0005-0000-0000-0000254C0000}"/>
    <cellStyle name="Normal 14 3 2 2" xfId="1309" xr:uid="{00000000-0005-0000-0000-0000264C0000}"/>
    <cellStyle name="Normal 14 3 2 2 2" xfId="2470" xr:uid="{00000000-0005-0000-0000-0000274C0000}"/>
    <cellStyle name="Normal 14 3 2 2 2 2" xfId="4628" xr:uid="{00000000-0005-0000-0000-0000284C0000}"/>
    <cellStyle name="Normal 14 3 2 2 2 2 2" xfId="9051" xr:uid="{00000000-0005-0000-0000-0000294C0000}"/>
    <cellStyle name="Normal 14 3 2 2 2 2 2 2" xfId="17872" xr:uid="{00000000-0005-0000-0000-00002A4C0000}"/>
    <cellStyle name="Normal 14 3 2 2 2 2 3" xfId="13465" xr:uid="{00000000-0005-0000-0000-00002B4C0000}"/>
    <cellStyle name="Normal 14 3 2 2 2 3" xfId="6846" xr:uid="{00000000-0005-0000-0000-00002C4C0000}"/>
    <cellStyle name="Normal 14 3 2 2 2 3 2" xfId="15667" xr:uid="{00000000-0005-0000-0000-00002D4C0000}"/>
    <cellStyle name="Normal 14 3 2 2 2 4" xfId="11260" xr:uid="{00000000-0005-0000-0000-00002E4C0000}"/>
    <cellStyle name="Normal 14 3 2 2 3" xfId="1962" xr:uid="{00000000-0005-0000-0000-00002F4C0000}"/>
    <cellStyle name="Normal 14 3 2 2 3 2" xfId="3919" xr:uid="{00000000-0005-0000-0000-0000304C0000}"/>
    <cellStyle name="Normal 14 3 2 2 3 2 2" xfId="8313" xr:uid="{00000000-0005-0000-0000-0000314C0000}"/>
    <cellStyle name="Normal 14 3 2 2 3 2 2 2" xfId="17134" xr:uid="{00000000-0005-0000-0000-0000324C0000}"/>
    <cellStyle name="Normal 14 3 2 2 3 2 3" xfId="12727" xr:uid="{00000000-0005-0000-0000-0000334C0000}"/>
    <cellStyle name="Normal 14 3 2 2 3 3" xfId="6108" xr:uid="{00000000-0005-0000-0000-0000344C0000}"/>
    <cellStyle name="Normal 14 3 2 2 3 3 2" xfId="14929" xr:uid="{00000000-0005-0000-0000-0000354C0000}"/>
    <cellStyle name="Normal 14 3 2 2 3 4" xfId="10522" xr:uid="{00000000-0005-0000-0000-0000364C0000}"/>
    <cellStyle name="Normal 14 3 2 2 4" xfId="3182" xr:uid="{00000000-0005-0000-0000-0000374C0000}"/>
    <cellStyle name="Normal 14 3 2 2 4 2" xfId="7576" xr:uid="{00000000-0005-0000-0000-0000384C0000}"/>
    <cellStyle name="Normal 14 3 2 2 4 2 2" xfId="16397" xr:uid="{00000000-0005-0000-0000-0000394C0000}"/>
    <cellStyle name="Normal 14 3 2 2 4 3" xfId="11990" xr:uid="{00000000-0005-0000-0000-00003A4C0000}"/>
    <cellStyle name="Normal 14 3 2 2 5" xfId="5371" xr:uid="{00000000-0005-0000-0000-00003B4C0000}"/>
    <cellStyle name="Normal 14 3 2 2 5 2" xfId="14192" xr:uid="{00000000-0005-0000-0000-00003C4C0000}"/>
    <cellStyle name="Normal 14 3 2 2 6" xfId="9785" xr:uid="{00000000-0005-0000-0000-00003D4C0000}"/>
    <cellStyle name="Normal 14 3 2 3" xfId="2209" xr:uid="{00000000-0005-0000-0000-00003E4C0000}"/>
    <cellStyle name="Normal 14 3 2 3 2" xfId="4273" xr:uid="{00000000-0005-0000-0000-00003F4C0000}"/>
    <cellStyle name="Normal 14 3 2 3 2 2" xfId="8682" xr:uid="{00000000-0005-0000-0000-0000404C0000}"/>
    <cellStyle name="Normal 14 3 2 3 2 2 2" xfId="17503" xr:uid="{00000000-0005-0000-0000-0000414C0000}"/>
    <cellStyle name="Normal 14 3 2 3 2 3" xfId="13096" xr:uid="{00000000-0005-0000-0000-0000424C0000}"/>
    <cellStyle name="Normal 14 3 2 3 3" xfId="6477" xr:uid="{00000000-0005-0000-0000-0000434C0000}"/>
    <cellStyle name="Normal 14 3 2 3 3 2" xfId="15298" xr:uid="{00000000-0005-0000-0000-0000444C0000}"/>
    <cellStyle name="Normal 14 3 2 3 4" xfId="10891" xr:uid="{00000000-0005-0000-0000-0000454C0000}"/>
    <cellStyle name="Normal 14 3 2 4" xfId="1607" xr:uid="{00000000-0005-0000-0000-0000464C0000}"/>
    <cellStyle name="Normal 14 3 2 4 2" xfId="3550" xr:uid="{00000000-0005-0000-0000-0000474C0000}"/>
    <cellStyle name="Normal 14 3 2 4 2 2" xfId="7944" xr:uid="{00000000-0005-0000-0000-0000484C0000}"/>
    <cellStyle name="Normal 14 3 2 4 2 2 2" xfId="16765" xr:uid="{00000000-0005-0000-0000-0000494C0000}"/>
    <cellStyle name="Normal 14 3 2 4 2 3" xfId="12358" xr:uid="{00000000-0005-0000-0000-00004A4C0000}"/>
    <cellStyle name="Normal 14 3 2 4 3" xfId="5739" xr:uid="{00000000-0005-0000-0000-00004B4C0000}"/>
    <cellStyle name="Normal 14 3 2 4 3 2" xfId="14560" xr:uid="{00000000-0005-0000-0000-00004C4C0000}"/>
    <cellStyle name="Normal 14 3 2 4 4" xfId="10153" xr:uid="{00000000-0005-0000-0000-00004D4C0000}"/>
    <cellStyle name="Normal 14 3 2 5" xfId="2813" xr:uid="{00000000-0005-0000-0000-00004E4C0000}"/>
    <cellStyle name="Normal 14 3 2 5 2" xfId="7207" xr:uid="{00000000-0005-0000-0000-00004F4C0000}"/>
    <cellStyle name="Normal 14 3 2 5 2 2" xfId="16028" xr:uid="{00000000-0005-0000-0000-0000504C0000}"/>
    <cellStyle name="Normal 14 3 2 5 3" xfId="11621" xr:uid="{00000000-0005-0000-0000-0000514C0000}"/>
    <cellStyle name="Normal 14 3 2 6" xfId="5002" xr:uid="{00000000-0005-0000-0000-0000524C0000}"/>
    <cellStyle name="Normal 14 3 2 6 2" xfId="13823" xr:uid="{00000000-0005-0000-0000-0000534C0000}"/>
    <cellStyle name="Normal 14 3 2 7" xfId="9416" xr:uid="{00000000-0005-0000-0000-0000544C0000}"/>
    <cellStyle name="Normal 14 3 3" xfId="1200" xr:uid="{00000000-0005-0000-0000-0000554C0000}"/>
    <cellStyle name="Normal 14 3 3 2" xfId="2339" xr:uid="{00000000-0005-0000-0000-0000564C0000}"/>
    <cellStyle name="Normal 14 3 3 2 2" xfId="4444" xr:uid="{00000000-0005-0000-0000-0000574C0000}"/>
    <cellStyle name="Normal 14 3 3 2 2 2" xfId="8866" xr:uid="{00000000-0005-0000-0000-0000584C0000}"/>
    <cellStyle name="Normal 14 3 3 2 2 2 2" xfId="17687" xr:uid="{00000000-0005-0000-0000-0000594C0000}"/>
    <cellStyle name="Normal 14 3 3 2 2 3" xfId="13280" xr:uid="{00000000-0005-0000-0000-00005A4C0000}"/>
    <cellStyle name="Normal 14 3 3 2 3" xfId="6661" xr:uid="{00000000-0005-0000-0000-00005B4C0000}"/>
    <cellStyle name="Normal 14 3 3 2 3 2" xfId="15482" xr:uid="{00000000-0005-0000-0000-00005C4C0000}"/>
    <cellStyle name="Normal 14 3 3 2 4" xfId="11075" xr:uid="{00000000-0005-0000-0000-00005D4C0000}"/>
    <cellStyle name="Normal 14 3 3 3" xfId="1778" xr:uid="{00000000-0005-0000-0000-00005E4C0000}"/>
    <cellStyle name="Normal 14 3 3 3 2" xfId="3734" xr:uid="{00000000-0005-0000-0000-00005F4C0000}"/>
    <cellStyle name="Normal 14 3 3 3 2 2" xfId="8128" xr:uid="{00000000-0005-0000-0000-0000604C0000}"/>
    <cellStyle name="Normal 14 3 3 3 2 2 2" xfId="16949" xr:uid="{00000000-0005-0000-0000-0000614C0000}"/>
    <cellStyle name="Normal 14 3 3 3 2 3" xfId="12542" xr:uid="{00000000-0005-0000-0000-0000624C0000}"/>
    <cellStyle name="Normal 14 3 3 3 3" xfId="5923" xr:uid="{00000000-0005-0000-0000-0000634C0000}"/>
    <cellStyle name="Normal 14 3 3 3 3 2" xfId="14744" xr:uid="{00000000-0005-0000-0000-0000644C0000}"/>
    <cellStyle name="Normal 14 3 3 3 4" xfId="10337" xr:uid="{00000000-0005-0000-0000-0000654C0000}"/>
    <cellStyle name="Normal 14 3 3 4" xfId="2997" xr:uid="{00000000-0005-0000-0000-0000664C0000}"/>
    <cellStyle name="Normal 14 3 3 4 2" xfId="7391" xr:uid="{00000000-0005-0000-0000-0000674C0000}"/>
    <cellStyle name="Normal 14 3 3 4 2 2" xfId="16212" xr:uid="{00000000-0005-0000-0000-0000684C0000}"/>
    <cellStyle name="Normal 14 3 3 4 3" xfId="11805" xr:uid="{00000000-0005-0000-0000-0000694C0000}"/>
    <cellStyle name="Normal 14 3 3 5" xfId="5186" xr:uid="{00000000-0005-0000-0000-00006A4C0000}"/>
    <cellStyle name="Normal 14 3 3 5 2" xfId="14007" xr:uid="{00000000-0005-0000-0000-00006B4C0000}"/>
    <cellStyle name="Normal 14 3 3 6" xfId="9600" xr:uid="{00000000-0005-0000-0000-00006C4C0000}"/>
    <cellStyle name="Normal 14 3 4" xfId="2078" xr:uid="{00000000-0005-0000-0000-00006D4C0000}"/>
    <cellStyle name="Normal 14 3 4 2" xfId="4089" xr:uid="{00000000-0005-0000-0000-00006E4C0000}"/>
    <cellStyle name="Normal 14 3 4 2 2" xfId="8497" xr:uid="{00000000-0005-0000-0000-00006F4C0000}"/>
    <cellStyle name="Normal 14 3 4 2 2 2" xfId="17318" xr:uid="{00000000-0005-0000-0000-0000704C0000}"/>
    <cellStyle name="Normal 14 3 4 2 3" xfId="12911" xr:uid="{00000000-0005-0000-0000-0000714C0000}"/>
    <cellStyle name="Normal 14 3 4 3" xfId="6292" xr:uid="{00000000-0005-0000-0000-0000724C0000}"/>
    <cellStyle name="Normal 14 3 4 3 2" xfId="15113" xr:uid="{00000000-0005-0000-0000-0000734C0000}"/>
    <cellStyle name="Normal 14 3 4 4" xfId="10706" xr:uid="{00000000-0005-0000-0000-0000744C0000}"/>
    <cellStyle name="Normal 14 3 5" xfId="1436" xr:uid="{00000000-0005-0000-0000-0000754C0000}"/>
    <cellStyle name="Normal 14 3 5 2" xfId="3365" xr:uid="{00000000-0005-0000-0000-0000764C0000}"/>
    <cellStyle name="Normal 14 3 5 2 2" xfId="7759" xr:uid="{00000000-0005-0000-0000-0000774C0000}"/>
    <cellStyle name="Normal 14 3 5 2 2 2" xfId="16580" xr:uid="{00000000-0005-0000-0000-0000784C0000}"/>
    <cellStyle name="Normal 14 3 5 2 3" xfId="12173" xr:uid="{00000000-0005-0000-0000-0000794C0000}"/>
    <cellStyle name="Normal 14 3 5 3" xfId="5554" xr:uid="{00000000-0005-0000-0000-00007A4C0000}"/>
    <cellStyle name="Normal 14 3 5 3 2" xfId="14375" xr:uid="{00000000-0005-0000-0000-00007B4C0000}"/>
    <cellStyle name="Normal 14 3 5 4" xfId="9968" xr:uid="{00000000-0005-0000-0000-00007C4C0000}"/>
    <cellStyle name="Normal 14 3 6" xfId="2629" xr:uid="{00000000-0005-0000-0000-00007D4C0000}"/>
    <cellStyle name="Normal 14 3 6 2" xfId="7022" xr:uid="{00000000-0005-0000-0000-00007E4C0000}"/>
    <cellStyle name="Normal 14 3 6 2 2" xfId="15843" xr:uid="{00000000-0005-0000-0000-00007F4C0000}"/>
    <cellStyle name="Normal 14 3 6 3" xfId="11436" xr:uid="{00000000-0005-0000-0000-0000804C0000}"/>
    <cellStyle name="Normal 14 3 7" xfId="4817" xr:uid="{00000000-0005-0000-0000-0000814C0000}"/>
    <cellStyle name="Normal 14 3 7 2" xfId="13638" xr:uid="{00000000-0005-0000-0000-0000824C0000}"/>
    <cellStyle name="Normal 14 3 8" xfId="9231" xr:uid="{00000000-0005-0000-0000-0000834C0000}"/>
    <cellStyle name="Normal 14 3 9" xfId="18085" xr:uid="{00000000-0005-0000-0000-0000844C0000}"/>
    <cellStyle name="Normal 14 4" xfId="1239" xr:uid="{00000000-0005-0000-0000-0000854C0000}"/>
    <cellStyle name="Normal 14 4 10" xfId="27531" xr:uid="{00000000-0005-0000-0000-0000864C0000}"/>
    <cellStyle name="Normal 14 4 2" xfId="1140" xr:uid="{00000000-0005-0000-0000-0000874C0000}"/>
    <cellStyle name="Normal 14 4 2 2" xfId="2404" xr:uid="{00000000-0005-0000-0000-0000884C0000}"/>
    <cellStyle name="Normal 14 4 2 2 2" xfId="4536" xr:uid="{00000000-0005-0000-0000-0000894C0000}"/>
    <cellStyle name="Normal 14 4 2 2 2 2" xfId="8958" xr:uid="{00000000-0005-0000-0000-00008A4C0000}"/>
    <cellStyle name="Normal 14 4 2 2 2 2 2" xfId="17779" xr:uid="{00000000-0005-0000-0000-00008B4C0000}"/>
    <cellStyle name="Normal 14 4 2 2 2 3" xfId="13372" xr:uid="{00000000-0005-0000-0000-00008C4C0000}"/>
    <cellStyle name="Normal 14 4 2 2 3" xfId="6753" xr:uid="{00000000-0005-0000-0000-00008D4C0000}"/>
    <cellStyle name="Normal 14 4 2 2 3 2" xfId="15574" xr:uid="{00000000-0005-0000-0000-00008E4C0000}"/>
    <cellStyle name="Normal 14 4 2 2 4" xfId="11167" xr:uid="{00000000-0005-0000-0000-00008F4C0000}"/>
    <cellStyle name="Normal 14 4 2 3" xfId="1870" xr:uid="{00000000-0005-0000-0000-0000904C0000}"/>
    <cellStyle name="Normal 14 4 2 3 2" xfId="3826" xr:uid="{00000000-0005-0000-0000-0000914C0000}"/>
    <cellStyle name="Normal 14 4 2 3 2 2" xfId="8220" xr:uid="{00000000-0005-0000-0000-0000924C0000}"/>
    <cellStyle name="Normal 14 4 2 3 2 2 2" xfId="17041" xr:uid="{00000000-0005-0000-0000-0000934C0000}"/>
    <cellStyle name="Normal 14 4 2 3 2 3" xfId="12634" xr:uid="{00000000-0005-0000-0000-0000944C0000}"/>
    <cellStyle name="Normal 14 4 2 3 3" xfId="6015" xr:uid="{00000000-0005-0000-0000-0000954C0000}"/>
    <cellStyle name="Normal 14 4 2 3 3 2" xfId="14836" xr:uid="{00000000-0005-0000-0000-0000964C0000}"/>
    <cellStyle name="Normal 14 4 2 3 4" xfId="10429" xr:uid="{00000000-0005-0000-0000-0000974C0000}"/>
    <cellStyle name="Normal 14 4 2 4" xfId="3089" xr:uid="{00000000-0005-0000-0000-0000984C0000}"/>
    <cellStyle name="Normal 14 4 2 4 2" xfId="7483" xr:uid="{00000000-0005-0000-0000-0000994C0000}"/>
    <cellStyle name="Normal 14 4 2 4 2 2" xfId="16304" xr:uid="{00000000-0005-0000-0000-00009A4C0000}"/>
    <cellStyle name="Normal 14 4 2 4 3" xfId="11897" xr:uid="{00000000-0005-0000-0000-00009B4C0000}"/>
    <cellStyle name="Normal 14 4 2 5" xfId="5278" xr:uid="{00000000-0005-0000-0000-00009C4C0000}"/>
    <cellStyle name="Normal 14 4 2 5 2" xfId="14099" xr:uid="{00000000-0005-0000-0000-00009D4C0000}"/>
    <cellStyle name="Normal 14 4 2 6" xfId="9692" xr:uid="{00000000-0005-0000-0000-00009E4C0000}"/>
    <cellStyle name="Normal 14 4 3" xfId="2143" xr:uid="{00000000-0005-0000-0000-00009F4C0000}"/>
    <cellStyle name="Normal 14 4 3 2" xfId="4181" xr:uid="{00000000-0005-0000-0000-0000A04C0000}"/>
    <cellStyle name="Normal 14 4 3 2 2" xfId="8589" xr:uid="{00000000-0005-0000-0000-0000A14C0000}"/>
    <cellStyle name="Normal 14 4 3 2 2 2" xfId="17410" xr:uid="{00000000-0005-0000-0000-0000A24C0000}"/>
    <cellStyle name="Normal 14 4 3 2 3" xfId="13003" xr:uid="{00000000-0005-0000-0000-0000A34C0000}"/>
    <cellStyle name="Normal 14 4 3 3" xfId="6384" xr:uid="{00000000-0005-0000-0000-0000A44C0000}"/>
    <cellStyle name="Normal 14 4 3 3 2" xfId="15205" xr:uid="{00000000-0005-0000-0000-0000A54C0000}"/>
    <cellStyle name="Normal 14 4 3 4" xfId="10798" xr:uid="{00000000-0005-0000-0000-0000A64C0000}"/>
    <cellStyle name="Normal 14 4 4" xfId="1515" xr:uid="{00000000-0005-0000-0000-0000A74C0000}"/>
    <cellStyle name="Normal 14 4 4 2" xfId="3457" xr:uid="{00000000-0005-0000-0000-0000A84C0000}"/>
    <cellStyle name="Normal 14 4 4 2 2" xfId="7851" xr:uid="{00000000-0005-0000-0000-0000A94C0000}"/>
    <cellStyle name="Normal 14 4 4 2 2 2" xfId="16672" xr:uid="{00000000-0005-0000-0000-0000AA4C0000}"/>
    <cellStyle name="Normal 14 4 4 2 3" xfId="12265" xr:uid="{00000000-0005-0000-0000-0000AB4C0000}"/>
    <cellStyle name="Normal 14 4 4 3" xfId="5646" xr:uid="{00000000-0005-0000-0000-0000AC4C0000}"/>
    <cellStyle name="Normal 14 4 4 3 2" xfId="14467" xr:uid="{00000000-0005-0000-0000-0000AD4C0000}"/>
    <cellStyle name="Normal 14 4 4 4" xfId="10060" xr:uid="{00000000-0005-0000-0000-0000AE4C0000}"/>
    <cellStyle name="Normal 14 4 5" xfId="2721" xr:uid="{00000000-0005-0000-0000-0000AF4C0000}"/>
    <cellStyle name="Normal 14 4 5 2" xfId="7114" xr:uid="{00000000-0005-0000-0000-0000B04C0000}"/>
    <cellStyle name="Normal 14 4 5 2 2" xfId="15935" xr:uid="{00000000-0005-0000-0000-0000B14C0000}"/>
    <cellStyle name="Normal 14 4 5 3" xfId="11528" xr:uid="{00000000-0005-0000-0000-0000B24C0000}"/>
    <cellStyle name="Normal 14 4 6" xfId="4909" xr:uid="{00000000-0005-0000-0000-0000B34C0000}"/>
    <cellStyle name="Normal 14 4 6 2" xfId="13730" xr:uid="{00000000-0005-0000-0000-0000B44C0000}"/>
    <cellStyle name="Normal 14 4 7" xfId="9323" xr:uid="{00000000-0005-0000-0000-0000B54C0000}"/>
    <cellStyle name="Normal 14 4 8" xfId="18235" xr:uid="{00000000-0005-0000-0000-0000B64C0000}"/>
    <cellStyle name="Normal 14 4 9" xfId="27513" xr:uid="{00000000-0005-0000-0000-0000B74C0000}"/>
    <cellStyle name="Normal 14 5" xfId="1147" xr:uid="{00000000-0005-0000-0000-0000B84C0000}"/>
    <cellStyle name="Normal 14 5 2" xfId="2273" xr:uid="{00000000-0005-0000-0000-0000B94C0000}"/>
    <cellStyle name="Normal 14 5 2 2" xfId="4352" xr:uid="{00000000-0005-0000-0000-0000BA4C0000}"/>
    <cellStyle name="Normal 14 5 2 2 2" xfId="8773" xr:uid="{00000000-0005-0000-0000-0000BB4C0000}"/>
    <cellStyle name="Normal 14 5 2 2 2 2" xfId="17594" xr:uid="{00000000-0005-0000-0000-0000BC4C0000}"/>
    <cellStyle name="Normal 14 5 2 2 3" xfId="13187" xr:uid="{00000000-0005-0000-0000-0000BD4C0000}"/>
    <cellStyle name="Normal 14 5 2 3" xfId="6568" xr:uid="{00000000-0005-0000-0000-0000BE4C0000}"/>
    <cellStyle name="Normal 14 5 2 3 2" xfId="15389" xr:uid="{00000000-0005-0000-0000-0000BF4C0000}"/>
    <cellStyle name="Normal 14 5 2 4" xfId="10982" xr:uid="{00000000-0005-0000-0000-0000C04C0000}"/>
    <cellStyle name="Normal 14 5 3" xfId="1686" xr:uid="{00000000-0005-0000-0000-0000C14C0000}"/>
    <cellStyle name="Normal 14 5 3 2" xfId="3641" xr:uid="{00000000-0005-0000-0000-0000C24C0000}"/>
    <cellStyle name="Normal 14 5 3 2 2" xfId="8035" xr:uid="{00000000-0005-0000-0000-0000C34C0000}"/>
    <cellStyle name="Normal 14 5 3 2 2 2" xfId="16856" xr:uid="{00000000-0005-0000-0000-0000C44C0000}"/>
    <cellStyle name="Normal 14 5 3 2 3" xfId="12449" xr:uid="{00000000-0005-0000-0000-0000C54C0000}"/>
    <cellStyle name="Normal 14 5 3 3" xfId="5830" xr:uid="{00000000-0005-0000-0000-0000C64C0000}"/>
    <cellStyle name="Normal 14 5 3 3 2" xfId="14651" xr:uid="{00000000-0005-0000-0000-0000C74C0000}"/>
    <cellStyle name="Normal 14 5 3 4" xfId="10244" xr:uid="{00000000-0005-0000-0000-0000C84C0000}"/>
    <cellStyle name="Normal 14 5 4" xfId="2904" xr:uid="{00000000-0005-0000-0000-0000C94C0000}"/>
    <cellStyle name="Normal 14 5 4 2" xfId="7298" xr:uid="{00000000-0005-0000-0000-0000CA4C0000}"/>
    <cellStyle name="Normal 14 5 4 2 2" xfId="16119" xr:uid="{00000000-0005-0000-0000-0000CB4C0000}"/>
    <cellStyle name="Normal 14 5 4 3" xfId="11712" xr:uid="{00000000-0005-0000-0000-0000CC4C0000}"/>
    <cellStyle name="Normal 14 5 5" xfId="5093" xr:uid="{00000000-0005-0000-0000-0000CD4C0000}"/>
    <cellStyle name="Normal 14 5 5 2" xfId="13914" xr:uid="{00000000-0005-0000-0000-0000CE4C0000}"/>
    <cellStyle name="Normal 14 5 6" xfId="9507" xr:uid="{00000000-0005-0000-0000-0000CF4C0000}"/>
    <cellStyle name="Normal 14 5 7" xfId="18312" xr:uid="{00000000-0005-0000-0000-0000D04C0000}"/>
    <cellStyle name="Normal 14 6" xfId="2038" xr:uid="{00000000-0005-0000-0000-0000D14C0000}"/>
    <cellStyle name="Normal 14 6 2" xfId="3997" xr:uid="{00000000-0005-0000-0000-0000D24C0000}"/>
    <cellStyle name="Normal 14 6 2 2" xfId="8404" xr:uid="{00000000-0005-0000-0000-0000D34C0000}"/>
    <cellStyle name="Normal 14 6 2 2 2" xfId="17225" xr:uid="{00000000-0005-0000-0000-0000D44C0000}"/>
    <cellStyle name="Normal 14 6 2 3" xfId="12818" xr:uid="{00000000-0005-0000-0000-0000D54C0000}"/>
    <cellStyle name="Normal 14 6 3" xfId="6199" xr:uid="{00000000-0005-0000-0000-0000D64C0000}"/>
    <cellStyle name="Normal 14 6 3 2" xfId="15020" xr:uid="{00000000-0005-0000-0000-0000D74C0000}"/>
    <cellStyle name="Normal 14 6 4" xfId="10613" xr:uid="{00000000-0005-0000-0000-0000D84C0000}"/>
    <cellStyle name="Normal 14 6 5" xfId="18364" xr:uid="{00000000-0005-0000-0000-0000D94C0000}"/>
    <cellStyle name="Normal 14 7" xfId="1370" xr:uid="{00000000-0005-0000-0000-0000DA4C0000}"/>
    <cellStyle name="Normal 14 7 2" xfId="3272" xr:uid="{00000000-0005-0000-0000-0000DB4C0000}"/>
    <cellStyle name="Normal 14 7 2 2" xfId="7666" xr:uid="{00000000-0005-0000-0000-0000DC4C0000}"/>
    <cellStyle name="Normal 14 7 2 2 2" xfId="16487" xr:uid="{00000000-0005-0000-0000-0000DD4C0000}"/>
    <cellStyle name="Normal 14 7 2 3" xfId="12080" xr:uid="{00000000-0005-0000-0000-0000DE4C0000}"/>
    <cellStyle name="Normal 14 7 3" xfId="5461" xr:uid="{00000000-0005-0000-0000-0000DF4C0000}"/>
    <cellStyle name="Normal 14 7 3 2" xfId="14282" xr:uid="{00000000-0005-0000-0000-0000E04C0000}"/>
    <cellStyle name="Normal 14 7 4" xfId="9875" xr:uid="{00000000-0005-0000-0000-0000E14C0000}"/>
    <cellStyle name="Normal 14 8" xfId="2540" xr:uid="{00000000-0005-0000-0000-0000E24C0000}"/>
    <cellStyle name="Normal 14 8 2" xfId="6931" xr:uid="{00000000-0005-0000-0000-0000E34C0000}"/>
    <cellStyle name="Normal 14 8 2 2" xfId="15752" xr:uid="{00000000-0005-0000-0000-0000E44C0000}"/>
    <cellStyle name="Normal 14 8 3" xfId="11345" xr:uid="{00000000-0005-0000-0000-0000E54C0000}"/>
    <cellStyle name="Normal 14 9" xfId="4737" xr:uid="{00000000-0005-0000-0000-0000E64C0000}"/>
    <cellStyle name="Normal 14 9 2" xfId="13558" xr:uid="{00000000-0005-0000-0000-0000E74C0000}"/>
    <cellStyle name="Normal 14_Fordelinger" xfId="18086" xr:uid="{00000000-0005-0000-0000-0000E84C0000}"/>
    <cellStyle name="Normal 140" xfId="27077" xr:uid="{00000000-0005-0000-0000-0000E94C0000}"/>
    <cellStyle name="Normal 141" xfId="27081" xr:uid="{00000000-0005-0000-0000-0000EA4C0000}"/>
    <cellStyle name="Normal 142" xfId="27083" xr:uid="{00000000-0005-0000-0000-0000EB4C0000}"/>
    <cellStyle name="Normal 143" xfId="27084" xr:uid="{00000000-0005-0000-0000-0000EC4C0000}"/>
    <cellStyle name="Normal 144" xfId="27085" xr:uid="{00000000-0005-0000-0000-0000ED4C0000}"/>
    <cellStyle name="Normal 145" xfId="27075" xr:uid="{00000000-0005-0000-0000-0000EE4C0000}"/>
    <cellStyle name="Normal 146" xfId="27089" xr:uid="{00000000-0005-0000-0000-0000EF4C0000}"/>
    <cellStyle name="Normal 147" xfId="27065" xr:uid="{00000000-0005-0000-0000-0000F04C0000}"/>
    <cellStyle name="Normal 148" xfId="27066" xr:uid="{00000000-0005-0000-0000-0000F14C0000}"/>
    <cellStyle name="Normal 149" xfId="27072" xr:uid="{00000000-0005-0000-0000-0000F24C0000}"/>
    <cellStyle name="Normal 15" xfId="153" xr:uid="{00000000-0005-0000-0000-0000F34C0000}"/>
    <cellStyle name="Normal 15 10" xfId="9157" xr:uid="{00000000-0005-0000-0000-0000F44C0000}"/>
    <cellStyle name="Normal 15 11" xfId="18087" xr:uid="{00000000-0005-0000-0000-0000F54C0000}"/>
    <cellStyle name="Normal 15 12" xfId="28341" xr:uid="{00000000-0005-0000-0000-0000F64C0000}"/>
    <cellStyle name="Normal 15 13" xfId="29262" xr:uid="{00000000-0005-0000-0000-0000F74C0000}"/>
    <cellStyle name="Normal 15 2" xfId="364" xr:uid="{00000000-0005-0000-0000-0000F84C0000}"/>
    <cellStyle name="Normal 15 2 10" xfId="18236" xr:uid="{00000000-0005-0000-0000-0000F94C0000}"/>
    <cellStyle name="Normal 15 2 11" xfId="28342" xr:uid="{00000000-0005-0000-0000-0000FA4C0000}"/>
    <cellStyle name="Normal 15 2 12" xfId="29263" xr:uid="{00000000-0005-0000-0000-0000FB4C0000}"/>
    <cellStyle name="Normal 15 2 2" xfId="857" xr:uid="{00000000-0005-0000-0000-0000FC4C0000}"/>
    <cellStyle name="Normal 15 2 2 10" xfId="29264" xr:uid="{00000000-0005-0000-0000-0000FD4C0000}"/>
    <cellStyle name="Normal 15 2 2 2" xfId="1209" xr:uid="{00000000-0005-0000-0000-0000FE4C0000}"/>
    <cellStyle name="Normal 15 2 2 2 2" xfId="1348" xr:uid="{00000000-0005-0000-0000-0000FF4C0000}"/>
    <cellStyle name="Normal 15 2 2 2 2 2" xfId="2522" xr:uid="{00000000-0005-0000-0000-0000004D0000}"/>
    <cellStyle name="Normal 15 2 2 2 2 2 2" xfId="4693" xr:uid="{00000000-0005-0000-0000-0000014D0000}"/>
    <cellStyle name="Normal 15 2 2 2 2 2 2 2" xfId="9116" xr:uid="{00000000-0005-0000-0000-0000024D0000}"/>
    <cellStyle name="Normal 15 2 2 2 2 2 2 2 2" xfId="17937" xr:uid="{00000000-0005-0000-0000-0000034D0000}"/>
    <cellStyle name="Normal 15 2 2 2 2 2 2 3" xfId="13530" xr:uid="{00000000-0005-0000-0000-0000044D0000}"/>
    <cellStyle name="Normal 15 2 2 2 2 2 3" xfId="6911" xr:uid="{00000000-0005-0000-0000-0000054D0000}"/>
    <cellStyle name="Normal 15 2 2 2 2 2 3 2" xfId="15732" xr:uid="{00000000-0005-0000-0000-0000064D0000}"/>
    <cellStyle name="Normal 15 2 2 2 2 2 4" xfId="11325" xr:uid="{00000000-0005-0000-0000-0000074D0000}"/>
    <cellStyle name="Normal 15 2 2 2 2 3" xfId="2027" xr:uid="{00000000-0005-0000-0000-0000084D0000}"/>
    <cellStyle name="Normal 15 2 2 2 2 3 2" xfId="3984" xr:uid="{00000000-0005-0000-0000-0000094D0000}"/>
    <cellStyle name="Normal 15 2 2 2 2 3 2 2" xfId="8378" xr:uid="{00000000-0005-0000-0000-00000A4D0000}"/>
    <cellStyle name="Normal 15 2 2 2 2 3 2 2 2" xfId="17199" xr:uid="{00000000-0005-0000-0000-00000B4D0000}"/>
    <cellStyle name="Normal 15 2 2 2 2 3 2 3" xfId="12792" xr:uid="{00000000-0005-0000-0000-00000C4D0000}"/>
    <cellStyle name="Normal 15 2 2 2 2 3 3" xfId="6173" xr:uid="{00000000-0005-0000-0000-00000D4D0000}"/>
    <cellStyle name="Normal 15 2 2 2 2 3 3 2" xfId="14994" xr:uid="{00000000-0005-0000-0000-00000E4D0000}"/>
    <cellStyle name="Normal 15 2 2 2 2 3 4" xfId="10587" xr:uid="{00000000-0005-0000-0000-00000F4D0000}"/>
    <cellStyle name="Normal 15 2 2 2 2 4" xfId="3247" xr:uid="{00000000-0005-0000-0000-0000104D0000}"/>
    <cellStyle name="Normal 15 2 2 2 2 4 2" xfId="7641" xr:uid="{00000000-0005-0000-0000-0000114D0000}"/>
    <cellStyle name="Normal 15 2 2 2 2 4 2 2" xfId="16462" xr:uid="{00000000-0005-0000-0000-0000124D0000}"/>
    <cellStyle name="Normal 15 2 2 2 2 4 3" xfId="12055" xr:uid="{00000000-0005-0000-0000-0000134D0000}"/>
    <cellStyle name="Normal 15 2 2 2 2 5" xfId="5436" xr:uid="{00000000-0005-0000-0000-0000144D0000}"/>
    <cellStyle name="Normal 15 2 2 2 2 5 2" xfId="14257" xr:uid="{00000000-0005-0000-0000-0000154D0000}"/>
    <cellStyle name="Normal 15 2 2 2 2 6" xfId="9850" xr:uid="{00000000-0005-0000-0000-0000164D0000}"/>
    <cellStyle name="Normal 15 2 2 2 3" xfId="2261" xr:uid="{00000000-0005-0000-0000-0000174D0000}"/>
    <cellStyle name="Normal 15 2 2 2 3 2" xfId="4338" xr:uid="{00000000-0005-0000-0000-0000184D0000}"/>
    <cellStyle name="Normal 15 2 2 2 3 2 2" xfId="8747" xr:uid="{00000000-0005-0000-0000-0000194D0000}"/>
    <cellStyle name="Normal 15 2 2 2 3 2 2 2" xfId="17568" xr:uid="{00000000-0005-0000-0000-00001A4D0000}"/>
    <cellStyle name="Normal 15 2 2 2 3 2 3" xfId="13161" xr:uid="{00000000-0005-0000-0000-00001B4D0000}"/>
    <cellStyle name="Normal 15 2 2 2 3 3" xfId="6542" xr:uid="{00000000-0005-0000-0000-00001C4D0000}"/>
    <cellStyle name="Normal 15 2 2 2 3 3 2" xfId="15363" xr:uid="{00000000-0005-0000-0000-00001D4D0000}"/>
    <cellStyle name="Normal 15 2 2 2 3 4" xfId="10956" xr:uid="{00000000-0005-0000-0000-00001E4D0000}"/>
    <cellStyle name="Normal 15 2 2 2 4" xfId="1672" xr:uid="{00000000-0005-0000-0000-00001F4D0000}"/>
    <cellStyle name="Normal 15 2 2 2 4 2" xfId="3615" xr:uid="{00000000-0005-0000-0000-0000204D0000}"/>
    <cellStyle name="Normal 15 2 2 2 4 2 2" xfId="8009" xr:uid="{00000000-0005-0000-0000-0000214D0000}"/>
    <cellStyle name="Normal 15 2 2 2 4 2 2 2" xfId="16830" xr:uid="{00000000-0005-0000-0000-0000224D0000}"/>
    <cellStyle name="Normal 15 2 2 2 4 2 3" xfId="12423" xr:uid="{00000000-0005-0000-0000-0000234D0000}"/>
    <cellStyle name="Normal 15 2 2 2 4 3" xfId="5804" xr:uid="{00000000-0005-0000-0000-0000244D0000}"/>
    <cellStyle name="Normal 15 2 2 2 4 3 2" xfId="14625" xr:uid="{00000000-0005-0000-0000-0000254D0000}"/>
    <cellStyle name="Normal 15 2 2 2 4 4" xfId="10218" xr:uid="{00000000-0005-0000-0000-0000264D0000}"/>
    <cellStyle name="Normal 15 2 2 2 5" xfId="2878" xr:uid="{00000000-0005-0000-0000-0000274D0000}"/>
    <cellStyle name="Normal 15 2 2 2 5 2" xfId="7272" xr:uid="{00000000-0005-0000-0000-0000284D0000}"/>
    <cellStyle name="Normal 15 2 2 2 5 2 2" xfId="16093" xr:uid="{00000000-0005-0000-0000-0000294D0000}"/>
    <cellStyle name="Normal 15 2 2 2 5 3" xfId="11686" xr:uid="{00000000-0005-0000-0000-00002A4D0000}"/>
    <cellStyle name="Normal 15 2 2 2 6" xfId="5067" xr:uid="{00000000-0005-0000-0000-00002B4D0000}"/>
    <cellStyle name="Normal 15 2 2 2 6 2" xfId="13888" xr:uid="{00000000-0005-0000-0000-00002C4D0000}"/>
    <cellStyle name="Normal 15 2 2 2 7" xfId="9481" xr:uid="{00000000-0005-0000-0000-00002D4D0000}"/>
    <cellStyle name="Normal 15 2 2 3" xfId="1310" xr:uid="{00000000-0005-0000-0000-00002E4D0000}"/>
    <cellStyle name="Normal 15 2 2 3 2" xfId="2391" xr:uid="{00000000-0005-0000-0000-00002F4D0000}"/>
    <cellStyle name="Normal 15 2 2 3 2 2" xfId="4509" xr:uid="{00000000-0005-0000-0000-0000304D0000}"/>
    <cellStyle name="Normal 15 2 2 3 2 2 2" xfId="8931" xr:uid="{00000000-0005-0000-0000-0000314D0000}"/>
    <cellStyle name="Normal 15 2 2 3 2 2 2 2" xfId="17752" xr:uid="{00000000-0005-0000-0000-0000324D0000}"/>
    <cellStyle name="Normal 15 2 2 3 2 2 3" xfId="13345" xr:uid="{00000000-0005-0000-0000-0000334D0000}"/>
    <cellStyle name="Normal 15 2 2 3 2 3" xfId="6726" xr:uid="{00000000-0005-0000-0000-0000344D0000}"/>
    <cellStyle name="Normal 15 2 2 3 2 3 2" xfId="15547" xr:uid="{00000000-0005-0000-0000-0000354D0000}"/>
    <cellStyle name="Normal 15 2 2 3 2 4" xfId="11140" xr:uid="{00000000-0005-0000-0000-0000364D0000}"/>
    <cellStyle name="Normal 15 2 2 3 3" xfId="1843" xr:uid="{00000000-0005-0000-0000-0000374D0000}"/>
    <cellStyle name="Normal 15 2 2 3 3 2" xfId="3799" xr:uid="{00000000-0005-0000-0000-0000384D0000}"/>
    <cellStyle name="Normal 15 2 2 3 3 2 2" xfId="8193" xr:uid="{00000000-0005-0000-0000-0000394D0000}"/>
    <cellStyle name="Normal 15 2 2 3 3 2 2 2" xfId="17014" xr:uid="{00000000-0005-0000-0000-00003A4D0000}"/>
    <cellStyle name="Normal 15 2 2 3 3 2 3" xfId="12607" xr:uid="{00000000-0005-0000-0000-00003B4D0000}"/>
    <cellStyle name="Normal 15 2 2 3 3 3" xfId="5988" xr:uid="{00000000-0005-0000-0000-00003C4D0000}"/>
    <cellStyle name="Normal 15 2 2 3 3 3 2" xfId="14809" xr:uid="{00000000-0005-0000-0000-00003D4D0000}"/>
    <cellStyle name="Normal 15 2 2 3 3 4" xfId="10402" xr:uid="{00000000-0005-0000-0000-00003E4D0000}"/>
    <cellStyle name="Normal 15 2 2 3 4" xfId="3062" xr:uid="{00000000-0005-0000-0000-00003F4D0000}"/>
    <cellStyle name="Normal 15 2 2 3 4 2" xfId="7456" xr:uid="{00000000-0005-0000-0000-0000404D0000}"/>
    <cellStyle name="Normal 15 2 2 3 4 2 2" xfId="16277" xr:uid="{00000000-0005-0000-0000-0000414D0000}"/>
    <cellStyle name="Normal 15 2 2 3 4 3" xfId="11870" xr:uid="{00000000-0005-0000-0000-0000424D0000}"/>
    <cellStyle name="Normal 15 2 2 3 5" xfId="5251" xr:uid="{00000000-0005-0000-0000-0000434D0000}"/>
    <cellStyle name="Normal 15 2 2 3 5 2" xfId="14072" xr:uid="{00000000-0005-0000-0000-0000444D0000}"/>
    <cellStyle name="Normal 15 2 2 3 6" xfId="9665" xr:uid="{00000000-0005-0000-0000-0000454D0000}"/>
    <cellStyle name="Normal 15 2 2 4" xfId="2130" xr:uid="{00000000-0005-0000-0000-0000464D0000}"/>
    <cellStyle name="Normal 15 2 2 4 2" xfId="4154" xr:uid="{00000000-0005-0000-0000-0000474D0000}"/>
    <cellStyle name="Normal 15 2 2 4 2 2" xfId="8562" xr:uid="{00000000-0005-0000-0000-0000484D0000}"/>
    <cellStyle name="Normal 15 2 2 4 2 2 2" xfId="17383" xr:uid="{00000000-0005-0000-0000-0000494D0000}"/>
    <cellStyle name="Normal 15 2 2 4 2 3" xfId="12976" xr:uid="{00000000-0005-0000-0000-00004A4D0000}"/>
    <cellStyle name="Normal 15 2 2 4 3" xfId="6357" xr:uid="{00000000-0005-0000-0000-00004B4D0000}"/>
    <cellStyle name="Normal 15 2 2 4 3 2" xfId="15178" xr:uid="{00000000-0005-0000-0000-00004C4D0000}"/>
    <cellStyle name="Normal 15 2 2 4 4" xfId="10771" xr:uid="{00000000-0005-0000-0000-00004D4D0000}"/>
    <cellStyle name="Normal 15 2 2 5" xfId="1488" xr:uid="{00000000-0005-0000-0000-00004E4D0000}"/>
    <cellStyle name="Normal 15 2 2 5 2" xfId="3430" xr:uid="{00000000-0005-0000-0000-00004F4D0000}"/>
    <cellStyle name="Normal 15 2 2 5 2 2" xfId="7824" xr:uid="{00000000-0005-0000-0000-0000504D0000}"/>
    <cellStyle name="Normal 15 2 2 5 2 2 2" xfId="16645" xr:uid="{00000000-0005-0000-0000-0000514D0000}"/>
    <cellStyle name="Normal 15 2 2 5 2 3" xfId="12238" xr:uid="{00000000-0005-0000-0000-0000524D0000}"/>
    <cellStyle name="Normal 15 2 2 5 3" xfId="5619" xr:uid="{00000000-0005-0000-0000-0000534D0000}"/>
    <cellStyle name="Normal 15 2 2 5 3 2" xfId="14440" xr:uid="{00000000-0005-0000-0000-0000544D0000}"/>
    <cellStyle name="Normal 15 2 2 5 4" xfId="10033" xr:uid="{00000000-0005-0000-0000-0000554D0000}"/>
    <cellStyle name="Normal 15 2 2 6" xfId="2694" xr:uid="{00000000-0005-0000-0000-0000564D0000}"/>
    <cellStyle name="Normal 15 2 2 6 2" xfId="7087" xr:uid="{00000000-0005-0000-0000-0000574D0000}"/>
    <cellStyle name="Normal 15 2 2 6 2 2" xfId="15908" xr:uid="{00000000-0005-0000-0000-0000584D0000}"/>
    <cellStyle name="Normal 15 2 2 6 3" xfId="11501" xr:uid="{00000000-0005-0000-0000-0000594D0000}"/>
    <cellStyle name="Normal 15 2 2 7" xfId="4882" xr:uid="{00000000-0005-0000-0000-00005A4D0000}"/>
    <cellStyle name="Normal 15 2 2 7 2" xfId="13703" xr:uid="{00000000-0005-0000-0000-00005B4D0000}"/>
    <cellStyle name="Normal 15 2 2 8" xfId="9296" xr:uid="{00000000-0005-0000-0000-00005C4D0000}"/>
    <cellStyle name="Normal 15 2 2 9" xfId="28343" xr:uid="{00000000-0005-0000-0000-00005D4D0000}"/>
    <cellStyle name="Normal 15 2 3" xfId="1217" xr:uid="{00000000-0005-0000-0000-00005E4D0000}"/>
    <cellStyle name="Normal 15 2 3 2" xfId="1303" xr:uid="{00000000-0005-0000-0000-00005F4D0000}"/>
    <cellStyle name="Normal 15 2 3 2 2" xfId="2457" xr:uid="{00000000-0005-0000-0000-0000604D0000}"/>
    <cellStyle name="Normal 15 2 3 2 2 2" xfId="4601" xr:uid="{00000000-0005-0000-0000-0000614D0000}"/>
    <cellStyle name="Normal 15 2 3 2 2 2 2" xfId="9024" xr:uid="{00000000-0005-0000-0000-0000624D0000}"/>
    <cellStyle name="Normal 15 2 3 2 2 2 2 2" xfId="17845" xr:uid="{00000000-0005-0000-0000-0000634D0000}"/>
    <cellStyle name="Normal 15 2 3 2 2 2 3" xfId="13438" xr:uid="{00000000-0005-0000-0000-0000644D0000}"/>
    <cellStyle name="Normal 15 2 3 2 2 3" xfId="6819" xr:uid="{00000000-0005-0000-0000-0000654D0000}"/>
    <cellStyle name="Normal 15 2 3 2 2 3 2" xfId="15640" xr:uid="{00000000-0005-0000-0000-0000664D0000}"/>
    <cellStyle name="Normal 15 2 3 2 2 4" xfId="11233" xr:uid="{00000000-0005-0000-0000-0000674D0000}"/>
    <cellStyle name="Normal 15 2 3 2 3" xfId="1935" xr:uid="{00000000-0005-0000-0000-0000684D0000}"/>
    <cellStyle name="Normal 15 2 3 2 3 2" xfId="3892" xr:uid="{00000000-0005-0000-0000-0000694D0000}"/>
    <cellStyle name="Normal 15 2 3 2 3 2 2" xfId="8286" xr:uid="{00000000-0005-0000-0000-00006A4D0000}"/>
    <cellStyle name="Normal 15 2 3 2 3 2 2 2" xfId="17107" xr:uid="{00000000-0005-0000-0000-00006B4D0000}"/>
    <cellStyle name="Normal 15 2 3 2 3 2 3" xfId="12700" xr:uid="{00000000-0005-0000-0000-00006C4D0000}"/>
    <cellStyle name="Normal 15 2 3 2 3 3" xfId="6081" xr:uid="{00000000-0005-0000-0000-00006D4D0000}"/>
    <cellStyle name="Normal 15 2 3 2 3 3 2" xfId="14902" xr:uid="{00000000-0005-0000-0000-00006E4D0000}"/>
    <cellStyle name="Normal 15 2 3 2 3 4" xfId="10495" xr:uid="{00000000-0005-0000-0000-00006F4D0000}"/>
    <cellStyle name="Normal 15 2 3 2 4" xfId="3155" xr:uid="{00000000-0005-0000-0000-0000704D0000}"/>
    <cellStyle name="Normal 15 2 3 2 4 2" xfId="7549" xr:uid="{00000000-0005-0000-0000-0000714D0000}"/>
    <cellStyle name="Normal 15 2 3 2 4 2 2" xfId="16370" xr:uid="{00000000-0005-0000-0000-0000724D0000}"/>
    <cellStyle name="Normal 15 2 3 2 4 3" xfId="11963" xr:uid="{00000000-0005-0000-0000-0000734D0000}"/>
    <cellStyle name="Normal 15 2 3 2 5" xfId="5344" xr:uid="{00000000-0005-0000-0000-0000744D0000}"/>
    <cellStyle name="Normal 15 2 3 2 5 2" xfId="14165" xr:uid="{00000000-0005-0000-0000-0000754D0000}"/>
    <cellStyle name="Normal 15 2 3 2 6" xfId="9758" xr:uid="{00000000-0005-0000-0000-0000764D0000}"/>
    <cellStyle name="Normal 15 2 3 3" xfId="2196" xr:uid="{00000000-0005-0000-0000-0000774D0000}"/>
    <cellStyle name="Normal 15 2 3 3 2" xfId="4246" xr:uid="{00000000-0005-0000-0000-0000784D0000}"/>
    <cellStyle name="Normal 15 2 3 3 2 2" xfId="8655" xr:uid="{00000000-0005-0000-0000-0000794D0000}"/>
    <cellStyle name="Normal 15 2 3 3 2 2 2" xfId="17476" xr:uid="{00000000-0005-0000-0000-00007A4D0000}"/>
    <cellStyle name="Normal 15 2 3 3 2 3" xfId="13069" xr:uid="{00000000-0005-0000-0000-00007B4D0000}"/>
    <cellStyle name="Normal 15 2 3 3 3" xfId="6450" xr:uid="{00000000-0005-0000-0000-00007C4D0000}"/>
    <cellStyle name="Normal 15 2 3 3 3 2" xfId="15271" xr:uid="{00000000-0005-0000-0000-00007D4D0000}"/>
    <cellStyle name="Normal 15 2 3 3 4" xfId="10864" xr:uid="{00000000-0005-0000-0000-00007E4D0000}"/>
    <cellStyle name="Normal 15 2 3 4" xfId="1580" xr:uid="{00000000-0005-0000-0000-00007F4D0000}"/>
    <cellStyle name="Normal 15 2 3 4 2" xfId="3523" xr:uid="{00000000-0005-0000-0000-0000804D0000}"/>
    <cellStyle name="Normal 15 2 3 4 2 2" xfId="7917" xr:uid="{00000000-0005-0000-0000-0000814D0000}"/>
    <cellStyle name="Normal 15 2 3 4 2 2 2" xfId="16738" xr:uid="{00000000-0005-0000-0000-0000824D0000}"/>
    <cellStyle name="Normal 15 2 3 4 2 3" xfId="12331" xr:uid="{00000000-0005-0000-0000-0000834D0000}"/>
    <cellStyle name="Normal 15 2 3 4 3" xfId="5712" xr:uid="{00000000-0005-0000-0000-0000844D0000}"/>
    <cellStyle name="Normal 15 2 3 4 3 2" xfId="14533" xr:uid="{00000000-0005-0000-0000-0000854D0000}"/>
    <cellStyle name="Normal 15 2 3 4 4" xfId="10126" xr:uid="{00000000-0005-0000-0000-0000864D0000}"/>
    <cellStyle name="Normal 15 2 3 5" xfId="2786" xr:uid="{00000000-0005-0000-0000-0000874D0000}"/>
    <cellStyle name="Normal 15 2 3 5 2" xfId="7180" xr:uid="{00000000-0005-0000-0000-0000884D0000}"/>
    <cellStyle name="Normal 15 2 3 5 2 2" xfId="16001" xr:uid="{00000000-0005-0000-0000-0000894D0000}"/>
    <cellStyle name="Normal 15 2 3 5 3" xfId="11594" xr:uid="{00000000-0005-0000-0000-00008A4D0000}"/>
    <cellStyle name="Normal 15 2 3 6" xfId="4975" xr:uid="{00000000-0005-0000-0000-00008B4D0000}"/>
    <cellStyle name="Normal 15 2 3 6 2" xfId="13796" xr:uid="{00000000-0005-0000-0000-00008C4D0000}"/>
    <cellStyle name="Normal 15 2 3 7" xfId="9389" xr:uid="{00000000-0005-0000-0000-00008D4D0000}"/>
    <cellStyle name="Normal 15 2 4" xfId="1203" xr:uid="{00000000-0005-0000-0000-00008E4D0000}"/>
    <cellStyle name="Normal 15 2 4 2" xfId="2326" xr:uid="{00000000-0005-0000-0000-00008F4D0000}"/>
    <cellStyle name="Normal 15 2 4 2 2" xfId="4417" xr:uid="{00000000-0005-0000-0000-0000904D0000}"/>
    <cellStyle name="Normal 15 2 4 2 2 2" xfId="8839" xr:uid="{00000000-0005-0000-0000-0000914D0000}"/>
    <cellStyle name="Normal 15 2 4 2 2 2 2" xfId="17660" xr:uid="{00000000-0005-0000-0000-0000924D0000}"/>
    <cellStyle name="Normal 15 2 4 2 2 3" xfId="13253" xr:uid="{00000000-0005-0000-0000-0000934D0000}"/>
    <cellStyle name="Normal 15 2 4 2 3" xfId="6634" xr:uid="{00000000-0005-0000-0000-0000944D0000}"/>
    <cellStyle name="Normal 15 2 4 2 3 2" xfId="15455" xr:uid="{00000000-0005-0000-0000-0000954D0000}"/>
    <cellStyle name="Normal 15 2 4 2 4" xfId="11048" xr:uid="{00000000-0005-0000-0000-0000964D0000}"/>
    <cellStyle name="Normal 15 2 4 3" xfId="1751" xr:uid="{00000000-0005-0000-0000-0000974D0000}"/>
    <cellStyle name="Normal 15 2 4 3 2" xfId="3707" xr:uid="{00000000-0005-0000-0000-0000984D0000}"/>
    <cellStyle name="Normal 15 2 4 3 2 2" xfId="8101" xr:uid="{00000000-0005-0000-0000-0000994D0000}"/>
    <cellStyle name="Normal 15 2 4 3 2 2 2" xfId="16922" xr:uid="{00000000-0005-0000-0000-00009A4D0000}"/>
    <cellStyle name="Normal 15 2 4 3 2 3" xfId="12515" xr:uid="{00000000-0005-0000-0000-00009B4D0000}"/>
    <cellStyle name="Normal 15 2 4 3 3" xfId="5896" xr:uid="{00000000-0005-0000-0000-00009C4D0000}"/>
    <cellStyle name="Normal 15 2 4 3 3 2" xfId="14717" xr:uid="{00000000-0005-0000-0000-00009D4D0000}"/>
    <cellStyle name="Normal 15 2 4 3 4" xfId="10310" xr:uid="{00000000-0005-0000-0000-00009E4D0000}"/>
    <cellStyle name="Normal 15 2 4 4" xfId="2970" xr:uid="{00000000-0005-0000-0000-00009F4D0000}"/>
    <cellStyle name="Normal 15 2 4 4 2" xfId="7364" xr:uid="{00000000-0005-0000-0000-0000A04D0000}"/>
    <cellStyle name="Normal 15 2 4 4 2 2" xfId="16185" xr:uid="{00000000-0005-0000-0000-0000A14D0000}"/>
    <cellStyle name="Normal 15 2 4 4 3" xfId="11778" xr:uid="{00000000-0005-0000-0000-0000A24D0000}"/>
    <cellStyle name="Normal 15 2 4 5" xfId="5159" xr:uid="{00000000-0005-0000-0000-0000A34D0000}"/>
    <cellStyle name="Normal 15 2 4 5 2" xfId="13980" xr:uid="{00000000-0005-0000-0000-0000A44D0000}"/>
    <cellStyle name="Normal 15 2 4 6" xfId="9573" xr:uid="{00000000-0005-0000-0000-0000A54D0000}"/>
    <cellStyle name="Normal 15 2 5" xfId="2065" xr:uid="{00000000-0005-0000-0000-0000A64D0000}"/>
    <cellStyle name="Normal 15 2 5 2" xfId="4062" xr:uid="{00000000-0005-0000-0000-0000A74D0000}"/>
    <cellStyle name="Normal 15 2 5 2 2" xfId="8470" xr:uid="{00000000-0005-0000-0000-0000A84D0000}"/>
    <cellStyle name="Normal 15 2 5 2 2 2" xfId="17291" xr:uid="{00000000-0005-0000-0000-0000A94D0000}"/>
    <cellStyle name="Normal 15 2 5 2 3" xfId="12884" xr:uid="{00000000-0005-0000-0000-0000AA4D0000}"/>
    <cellStyle name="Normal 15 2 5 3" xfId="6265" xr:uid="{00000000-0005-0000-0000-0000AB4D0000}"/>
    <cellStyle name="Normal 15 2 5 3 2" xfId="15086" xr:uid="{00000000-0005-0000-0000-0000AC4D0000}"/>
    <cellStyle name="Normal 15 2 5 4" xfId="10679" xr:uid="{00000000-0005-0000-0000-0000AD4D0000}"/>
    <cellStyle name="Normal 15 2 6" xfId="1423" xr:uid="{00000000-0005-0000-0000-0000AE4D0000}"/>
    <cellStyle name="Normal 15 2 6 2" xfId="3338" xr:uid="{00000000-0005-0000-0000-0000AF4D0000}"/>
    <cellStyle name="Normal 15 2 6 2 2" xfId="7732" xr:uid="{00000000-0005-0000-0000-0000B04D0000}"/>
    <cellStyle name="Normal 15 2 6 2 2 2" xfId="16553" xr:uid="{00000000-0005-0000-0000-0000B14D0000}"/>
    <cellStyle name="Normal 15 2 6 2 3" xfId="12146" xr:uid="{00000000-0005-0000-0000-0000B24D0000}"/>
    <cellStyle name="Normal 15 2 6 3" xfId="5527" xr:uid="{00000000-0005-0000-0000-0000B34D0000}"/>
    <cellStyle name="Normal 15 2 6 3 2" xfId="14348" xr:uid="{00000000-0005-0000-0000-0000B44D0000}"/>
    <cellStyle name="Normal 15 2 6 4" xfId="9941" xr:uid="{00000000-0005-0000-0000-0000B54D0000}"/>
    <cellStyle name="Normal 15 2 7" xfId="2602" xr:uid="{00000000-0005-0000-0000-0000B64D0000}"/>
    <cellStyle name="Normal 15 2 7 2" xfId="6995" xr:uid="{00000000-0005-0000-0000-0000B74D0000}"/>
    <cellStyle name="Normal 15 2 7 2 2" xfId="15816" xr:uid="{00000000-0005-0000-0000-0000B84D0000}"/>
    <cellStyle name="Normal 15 2 7 3" xfId="11409" xr:uid="{00000000-0005-0000-0000-0000B94D0000}"/>
    <cellStyle name="Normal 15 2 8" xfId="4790" xr:uid="{00000000-0005-0000-0000-0000BA4D0000}"/>
    <cellStyle name="Normal 15 2 8 2" xfId="13611" xr:uid="{00000000-0005-0000-0000-0000BB4D0000}"/>
    <cellStyle name="Normal 15 2 9" xfId="9204" xr:uid="{00000000-0005-0000-0000-0000BC4D0000}"/>
    <cellStyle name="Normal 15 3" xfId="725" xr:uid="{00000000-0005-0000-0000-0000BD4D0000}"/>
    <cellStyle name="Normal 15 3 10" xfId="28344" xr:uid="{00000000-0005-0000-0000-0000BE4D0000}"/>
    <cellStyle name="Normal 15 3 11" xfId="29265" xr:uid="{00000000-0005-0000-0000-0000BF4D0000}"/>
    <cellStyle name="Normal 15 3 2" xfId="1279" xr:uid="{00000000-0005-0000-0000-0000C04D0000}"/>
    <cellStyle name="Normal 15 3 2 2" xfId="1328" xr:uid="{00000000-0005-0000-0000-0000C14D0000}"/>
    <cellStyle name="Normal 15 3 2 2 2" xfId="2476" xr:uid="{00000000-0005-0000-0000-0000C24D0000}"/>
    <cellStyle name="Normal 15 3 2 2 2 2" xfId="4646" xr:uid="{00000000-0005-0000-0000-0000C34D0000}"/>
    <cellStyle name="Normal 15 3 2 2 2 2 2" xfId="9069" xr:uid="{00000000-0005-0000-0000-0000C44D0000}"/>
    <cellStyle name="Normal 15 3 2 2 2 2 2 2" xfId="17890" xr:uid="{00000000-0005-0000-0000-0000C54D0000}"/>
    <cellStyle name="Normal 15 3 2 2 2 2 3" xfId="13483" xr:uid="{00000000-0005-0000-0000-0000C64D0000}"/>
    <cellStyle name="Normal 15 3 2 2 2 3" xfId="6864" xr:uid="{00000000-0005-0000-0000-0000C74D0000}"/>
    <cellStyle name="Normal 15 3 2 2 2 3 2" xfId="15685" xr:uid="{00000000-0005-0000-0000-0000C84D0000}"/>
    <cellStyle name="Normal 15 3 2 2 2 4" xfId="11278" xr:uid="{00000000-0005-0000-0000-0000C94D0000}"/>
    <cellStyle name="Normal 15 3 2 2 3" xfId="1980" xr:uid="{00000000-0005-0000-0000-0000CA4D0000}"/>
    <cellStyle name="Normal 15 3 2 2 3 2" xfId="3937" xr:uid="{00000000-0005-0000-0000-0000CB4D0000}"/>
    <cellStyle name="Normal 15 3 2 2 3 2 2" xfId="8331" xr:uid="{00000000-0005-0000-0000-0000CC4D0000}"/>
    <cellStyle name="Normal 15 3 2 2 3 2 2 2" xfId="17152" xr:uid="{00000000-0005-0000-0000-0000CD4D0000}"/>
    <cellStyle name="Normal 15 3 2 2 3 2 3" xfId="12745" xr:uid="{00000000-0005-0000-0000-0000CE4D0000}"/>
    <cellStyle name="Normal 15 3 2 2 3 3" xfId="6126" xr:uid="{00000000-0005-0000-0000-0000CF4D0000}"/>
    <cellStyle name="Normal 15 3 2 2 3 3 2" xfId="14947" xr:uid="{00000000-0005-0000-0000-0000D04D0000}"/>
    <cellStyle name="Normal 15 3 2 2 3 4" xfId="10540" xr:uid="{00000000-0005-0000-0000-0000D14D0000}"/>
    <cellStyle name="Normal 15 3 2 2 4" xfId="3200" xr:uid="{00000000-0005-0000-0000-0000D24D0000}"/>
    <cellStyle name="Normal 15 3 2 2 4 2" xfId="7594" xr:uid="{00000000-0005-0000-0000-0000D34D0000}"/>
    <cellStyle name="Normal 15 3 2 2 4 2 2" xfId="16415" xr:uid="{00000000-0005-0000-0000-0000D44D0000}"/>
    <cellStyle name="Normal 15 3 2 2 4 3" xfId="12008" xr:uid="{00000000-0005-0000-0000-0000D54D0000}"/>
    <cellStyle name="Normal 15 3 2 2 5" xfId="5389" xr:uid="{00000000-0005-0000-0000-0000D64D0000}"/>
    <cellStyle name="Normal 15 3 2 2 5 2" xfId="14210" xr:uid="{00000000-0005-0000-0000-0000D74D0000}"/>
    <cellStyle name="Normal 15 3 2 2 6" xfId="9803" xr:uid="{00000000-0005-0000-0000-0000D84D0000}"/>
    <cellStyle name="Normal 15 3 2 3" xfId="2215" xr:uid="{00000000-0005-0000-0000-0000D94D0000}"/>
    <cellStyle name="Normal 15 3 2 3 2" xfId="4291" xr:uid="{00000000-0005-0000-0000-0000DA4D0000}"/>
    <cellStyle name="Normal 15 3 2 3 2 2" xfId="8700" xr:uid="{00000000-0005-0000-0000-0000DB4D0000}"/>
    <cellStyle name="Normal 15 3 2 3 2 2 2" xfId="17521" xr:uid="{00000000-0005-0000-0000-0000DC4D0000}"/>
    <cellStyle name="Normal 15 3 2 3 2 3" xfId="13114" xr:uid="{00000000-0005-0000-0000-0000DD4D0000}"/>
    <cellStyle name="Normal 15 3 2 3 3" xfId="6495" xr:uid="{00000000-0005-0000-0000-0000DE4D0000}"/>
    <cellStyle name="Normal 15 3 2 3 3 2" xfId="15316" xr:uid="{00000000-0005-0000-0000-0000DF4D0000}"/>
    <cellStyle name="Normal 15 3 2 3 4" xfId="10909" xr:uid="{00000000-0005-0000-0000-0000E04D0000}"/>
    <cellStyle name="Normal 15 3 2 4" xfId="1625" xr:uid="{00000000-0005-0000-0000-0000E14D0000}"/>
    <cellStyle name="Normal 15 3 2 4 2" xfId="3568" xr:uid="{00000000-0005-0000-0000-0000E24D0000}"/>
    <cellStyle name="Normal 15 3 2 4 2 2" xfId="7962" xr:uid="{00000000-0005-0000-0000-0000E34D0000}"/>
    <cellStyle name="Normal 15 3 2 4 2 2 2" xfId="16783" xr:uid="{00000000-0005-0000-0000-0000E44D0000}"/>
    <cellStyle name="Normal 15 3 2 4 2 3" xfId="12376" xr:uid="{00000000-0005-0000-0000-0000E54D0000}"/>
    <cellStyle name="Normal 15 3 2 4 3" xfId="5757" xr:uid="{00000000-0005-0000-0000-0000E64D0000}"/>
    <cellStyle name="Normal 15 3 2 4 3 2" xfId="14578" xr:uid="{00000000-0005-0000-0000-0000E74D0000}"/>
    <cellStyle name="Normal 15 3 2 4 4" xfId="10171" xr:uid="{00000000-0005-0000-0000-0000E84D0000}"/>
    <cellStyle name="Normal 15 3 2 5" xfId="2831" xr:uid="{00000000-0005-0000-0000-0000E94D0000}"/>
    <cellStyle name="Normal 15 3 2 5 2" xfId="7225" xr:uid="{00000000-0005-0000-0000-0000EA4D0000}"/>
    <cellStyle name="Normal 15 3 2 5 2 2" xfId="16046" xr:uid="{00000000-0005-0000-0000-0000EB4D0000}"/>
    <cellStyle name="Normal 15 3 2 5 3" xfId="11639" xr:uid="{00000000-0005-0000-0000-0000EC4D0000}"/>
    <cellStyle name="Normal 15 3 2 6" xfId="5020" xr:uid="{00000000-0005-0000-0000-0000ED4D0000}"/>
    <cellStyle name="Normal 15 3 2 6 2" xfId="13841" xr:uid="{00000000-0005-0000-0000-0000EE4D0000}"/>
    <cellStyle name="Normal 15 3 2 7" xfId="9434" xr:uid="{00000000-0005-0000-0000-0000EF4D0000}"/>
    <cellStyle name="Normal 15 3 3" xfId="1175" xr:uid="{00000000-0005-0000-0000-0000F04D0000}"/>
    <cellStyle name="Normal 15 3 3 2" xfId="2345" xr:uid="{00000000-0005-0000-0000-0000F14D0000}"/>
    <cellStyle name="Normal 15 3 3 2 2" xfId="4462" xr:uid="{00000000-0005-0000-0000-0000F24D0000}"/>
    <cellStyle name="Normal 15 3 3 2 2 2" xfId="8884" xr:uid="{00000000-0005-0000-0000-0000F34D0000}"/>
    <cellStyle name="Normal 15 3 3 2 2 2 2" xfId="17705" xr:uid="{00000000-0005-0000-0000-0000F44D0000}"/>
    <cellStyle name="Normal 15 3 3 2 2 3" xfId="13298" xr:uid="{00000000-0005-0000-0000-0000F54D0000}"/>
    <cellStyle name="Normal 15 3 3 2 3" xfId="6679" xr:uid="{00000000-0005-0000-0000-0000F64D0000}"/>
    <cellStyle name="Normal 15 3 3 2 3 2" xfId="15500" xr:uid="{00000000-0005-0000-0000-0000F74D0000}"/>
    <cellStyle name="Normal 15 3 3 2 4" xfId="11093" xr:uid="{00000000-0005-0000-0000-0000F84D0000}"/>
    <cellStyle name="Normal 15 3 3 3" xfId="1796" xr:uid="{00000000-0005-0000-0000-0000F94D0000}"/>
    <cellStyle name="Normal 15 3 3 3 2" xfId="3752" xr:uid="{00000000-0005-0000-0000-0000FA4D0000}"/>
    <cellStyle name="Normal 15 3 3 3 2 2" xfId="8146" xr:uid="{00000000-0005-0000-0000-0000FB4D0000}"/>
    <cellStyle name="Normal 15 3 3 3 2 2 2" xfId="16967" xr:uid="{00000000-0005-0000-0000-0000FC4D0000}"/>
    <cellStyle name="Normal 15 3 3 3 2 3" xfId="12560" xr:uid="{00000000-0005-0000-0000-0000FD4D0000}"/>
    <cellStyle name="Normal 15 3 3 3 3" xfId="5941" xr:uid="{00000000-0005-0000-0000-0000FE4D0000}"/>
    <cellStyle name="Normal 15 3 3 3 3 2" xfId="14762" xr:uid="{00000000-0005-0000-0000-0000FF4D0000}"/>
    <cellStyle name="Normal 15 3 3 3 4" xfId="10355" xr:uid="{00000000-0005-0000-0000-0000004E0000}"/>
    <cellStyle name="Normal 15 3 3 4" xfId="3015" xr:uid="{00000000-0005-0000-0000-0000014E0000}"/>
    <cellStyle name="Normal 15 3 3 4 2" xfId="7409" xr:uid="{00000000-0005-0000-0000-0000024E0000}"/>
    <cellStyle name="Normal 15 3 3 4 2 2" xfId="16230" xr:uid="{00000000-0005-0000-0000-0000034E0000}"/>
    <cellStyle name="Normal 15 3 3 4 3" xfId="11823" xr:uid="{00000000-0005-0000-0000-0000044E0000}"/>
    <cellStyle name="Normal 15 3 3 5" xfId="5204" xr:uid="{00000000-0005-0000-0000-0000054E0000}"/>
    <cellStyle name="Normal 15 3 3 5 2" xfId="14025" xr:uid="{00000000-0005-0000-0000-0000064E0000}"/>
    <cellStyle name="Normal 15 3 3 6" xfId="9618" xr:uid="{00000000-0005-0000-0000-0000074E0000}"/>
    <cellStyle name="Normal 15 3 4" xfId="2084" xr:uid="{00000000-0005-0000-0000-0000084E0000}"/>
    <cellStyle name="Normal 15 3 4 2" xfId="4107" xr:uid="{00000000-0005-0000-0000-0000094E0000}"/>
    <cellStyle name="Normal 15 3 4 2 2" xfId="8515" xr:uid="{00000000-0005-0000-0000-00000A4E0000}"/>
    <cellStyle name="Normal 15 3 4 2 2 2" xfId="17336" xr:uid="{00000000-0005-0000-0000-00000B4E0000}"/>
    <cellStyle name="Normal 15 3 4 2 3" xfId="12929" xr:uid="{00000000-0005-0000-0000-00000C4E0000}"/>
    <cellStyle name="Normal 15 3 4 3" xfId="6310" xr:uid="{00000000-0005-0000-0000-00000D4E0000}"/>
    <cellStyle name="Normal 15 3 4 3 2" xfId="15131" xr:uid="{00000000-0005-0000-0000-00000E4E0000}"/>
    <cellStyle name="Normal 15 3 4 4" xfId="10724" xr:uid="{00000000-0005-0000-0000-00000F4E0000}"/>
    <cellStyle name="Normal 15 3 5" xfId="1442" xr:uid="{00000000-0005-0000-0000-0000104E0000}"/>
    <cellStyle name="Normal 15 3 5 2" xfId="3383" xr:uid="{00000000-0005-0000-0000-0000114E0000}"/>
    <cellStyle name="Normal 15 3 5 2 2" xfId="7777" xr:uid="{00000000-0005-0000-0000-0000124E0000}"/>
    <cellStyle name="Normal 15 3 5 2 2 2" xfId="16598" xr:uid="{00000000-0005-0000-0000-0000134E0000}"/>
    <cellStyle name="Normal 15 3 5 2 3" xfId="12191" xr:uid="{00000000-0005-0000-0000-0000144E0000}"/>
    <cellStyle name="Normal 15 3 5 3" xfId="5572" xr:uid="{00000000-0005-0000-0000-0000154E0000}"/>
    <cellStyle name="Normal 15 3 5 3 2" xfId="14393" xr:uid="{00000000-0005-0000-0000-0000164E0000}"/>
    <cellStyle name="Normal 15 3 5 4" xfId="9986" xr:uid="{00000000-0005-0000-0000-0000174E0000}"/>
    <cellStyle name="Normal 15 3 6" xfId="2647" xr:uid="{00000000-0005-0000-0000-0000184E0000}"/>
    <cellStyle name="Normal 15 3 6 2" xfId="7040" xr:uid="{00000000-0005-0000-0000-0000194E0000}"/>
    <cellStyle name="Normal 15 3 6 2 2" xfId="15861" xr:uid="{00000000-0005-0000-0000-00001A4E0000}"/>
    <cellStyle name="Normal 15 3 6 3" xfId="11454" xr:uid="{00000000-0005-0000-0000-00001B4E0000}"/>
    <cellStyle name="Normal 15 3 7" xfId="4835" xr:uid="{00000000-0005-0000-0000-00001C4E0000}"/>
    <cellStyle name="Normal 15 3 7 2" xfId="13656" xr:uid="{00000000-0005-0000-0000-00001D4E0000}"/>
    <cellStyle name="Normal 15 3 8" xfId="9249" xr:uid="{00000000-0005-0000-0000-00001E4E0000}"/>
    <cellStyle name="Normal 15 3 9" xfId="18313" xr:uid="{00000000-0005-0000-0000-00001F4E0000}"/>
    <cellStyle name="Normal 15 4" xfId="1304" xr:uid="{00000000-0005-0000-0000-0000204E0000}"/>
    <cellStyle name="Normal 15 4 2" xfId="1128" xr:uid="{00000000-0005-0000-0000-0000214E0000}"/>
    <cellStyle name="Normal 15 4 2 2" xfId="2411" xr:uid="{00000000-0005-0000-0000-0000224E0000}"/>
    <cellStyle name="Normal 15 4 2 2 2" xfId="4555" xr:uid="{00000000-0005-0000-0000-0000234E0000}"/>
    <cellStyle name="Normal 15 4 2 2 2 2" xfId="8977" xr:uid="{00000000-0005-0000-0000-0000244E0000}"/>
    <cellStyle name="Normal 15 4 2 2 2 2 2" xfId="17798" xr:uid="{00000000-0005-0000-0000-0000254E0000}"/>
    <cellStyle name="Normal 15 4 2 2 2 3" xfId="13391" xr:uid="{00000000-0005-0000-0000-0000264E0000}"/>
    <cellStyle name="Normal 15 4 2 2 3" xfId="6772" xr:uid="{00000000-0005-0000-0000-0000274E0000}"/>
    <cellStyle name="Normal 15 4 2 2 3 2" xfId="15593" xr:uid="{00000000-0005-0000-0000-0000284E0000}"/>
    <cellStyle name="Normal 15 4 2 2 4" xfId="11186" xr:uid="{00000000-0005-0000-0000-0000294E0000}"/>
    <cellStyle name="Normal 15 4 2 3" xfId="1889" xr:uid="{00000000-0005-0000-0000-00002A4E0000}"/>
    <cellStyle name="Normal 15 4 2 3 2" xfId="3845" xr:uid="{00000000-0005-0000-0000-00002B4E0000}"/>
    <cellStyle name="Normal 15 4 2 3 2 2" xfId="8239" xr:uid="{00000000-0005-0000-0000-00002C4E0000}"/>
    <cellStyle name="Normal 15 4 2 3 2 2 2" xfId="17060" xr:uid="{00000000-0005-0000-0000-00002D4E0000}"/>
    <cellStyle name="Normal 15 4 2 3 2 3" xfId="12653" xr:uid="{00000000-0005-0000-0000-00002E4E0000}"/>
    <cellStyle name="Normal 15 4 2 3 3" xfId="6034" xr:uid="{00000000-0005-0000-0000-00002F4E0000}"/>
    <cellStyle name="Normal 15 4 2 3 3 2" xfId="14855" xr:uid="{00000000-0005-0000-0000-0000304E0000}"/>
    <cellStyle name="Normal 15 4 2 3 4" xfId="10448" xr:uid="{00000000-0005-0000-0000-0000314E0000}"/>
    <cellStyle name="Normal 15 4 2 4" xfId="3108" xr:uid="{00000000-0005-0000-0000-0000324E0000}"/>
    <cellStyle name="Normal 15 4 2 4 2" xfId="7502" xr:uid="{00000000-0005-0000-0000-0000334E0000}"/>
    <cellStyle name="Normal 15 4 2 4 2 2" xfId="16323" xr:uid="{00000000-0005-0000-0000-0000344E0000}"/>
    <cellStyle name="Normal 15 4 2 4 3" xfId="11916" xr:uid="{00000000-0005-0000-0000-0000354E0000}"/>
    <cellStyle name="Normal 15 4 2 5" xfId="5297" xr:uid="{00000000-0005-0000-0000-0000364E0000}"/>
    <cellStyle name="Normal 15 4 2 5 2" xfId="14118" xr:uid="{00000000-0005-0000-0000-0000374E0000}"/>
    <cellStyle name="Normal 15 4 2 6" xfId="9711" xr:uid="{00000000-0005-0000-0000-0000384E0000}"/>
    <cellStyle name="Normal 15 4 3" xfId="2150" xr:uid="{00000000-0005-0000-0000-0000394E0000}"/>
    <cellStyle name="Normal 15 4 3 2" xfId="4200" xr:uid="{00000000-0005-0000-0000-00003A4E0000}"/>
    <cellStyle name="Normal 15 4 3 2 2" xfId="8608" xr:uid="{00000000-0005-0000-0000-00003B4E0000}"/>
    <cellStyle name="Normal 15 4 3 2 2 2" xfId="17429" xr:uid="{00000000-0005-0000-0000-00003C4E0000}"/>
    <cellStyle name="Normal 15 4 3 2 3" xfId="13022" xr:uid="{00000000-0005-0000-0000-00003D4E0000}"/>
    <cellStyle name="Normal 15 4 3 3" xfId="6403" xr:uid="{00000000-0005-0000-0000-00003E4E0000}"/>
    <cellStyle name="Normal 15 4 3 3 2" xfId="15224" xr:uid="{00000000-0005-0000-0000-00003F4E0000}"/>
    <cellStyle name="Normal 15 4 3 4" xfId="10817" xr:uid="{00000000-0005-0000-0000-0000404E0000}"/>
    <cellStyle name="Normal 15 4 4" xfId="1534" xr:uid="{00000000-0005-0000-0000-0000414E0000}"/>
    <cellStyle name="Normal 15 4 4 2" xfId="3476" xr:uid="{00000000-0005-0000-0000-0000424E0000}"/>
    <cellStyle name="Normal 15 4 4 2 2" xfId="7870" xr:uid="{00000000-0005-0000-0000-0000434E0000}"/>
    <cellStyle name="Normal 15 4 4 2 2 2" xfId="16691" xr:uid="{00000000-0005-0000-0000-0000444E0000}"/>
    <cellStyle name="Normal 15 4 4 2 3" xfId="12284" xr:uid="{00000000-0005-0000-0000-0000454E0000}"/>
    <cellStyle name="Normal 15 4 4 3" xfId="5665" xr:uid="{00000000-0005-0000-0000-0000464E0000}"/>
    <cellStyle name="Normal 15 4 4 3 2" xfId="14486" xr:uid="{00000000-0005-0000-0000-0000474E0000}"/>
    <cellStyle name="Normal 15 4 4 4" xfId="10079" xr:uid="{00000000-0005-0000-0000-0000484E0000}"/>
    <cellStyle name="Normal 15 4 5" xfId="2740" xr:uid="{00000000-0005-0000-0000-0000494E0000}"/>
    <cellStyle name="Normal 15 4 5 2" xfId="7133" xr:uid="{00000000-0005-0000-0000-00004A4E0000}"/>
    <cellStyle name="Normal 15 4 5 2 2" xfId="15954" xr:uid="{00000000-0005-0000-0000-00004B4E0000}"/>
    <cellStyle name="Normal 15 4 5 3" xfId="11547" xr:uid="{00000000-0005-0000-0000-00004C4E0000}"/>
    <cellStyle name="Normal 15 4 6" xfId="4928" xr:uid="{00000000-0005-0000-0000-00004D4E0000}"/>
    <cellStyle name="Normal 15 4 6 2" xfId="13749" xr:uid="{00000000-0005-0000-0000-00004E4E0000}"/>
    <cellStyle name="Normal 15 4 7" xfId="9342" xr:uid="{00000000-0005-0000-0000-00004F4E0000}"/>
    <cellStyle name="Normal 15 4 8" xfId="18365" xr:uid="{00000000-0005-0000-0000-0000504E0000}"/>
    <cellStyle name="Normal 15 5" xfId="1075" xr:uid="{00000000-0005-0000-0000-0000514E0000}"/>
    <cellStyle name="Normal 15 5 2" xfId="2280" xr:uid="{00000000-0005-0000-0000-0000524E0000}"/>
    <cellStyle name="Normal 15 5 2 2" xfId="4371" xr:uid="{00000000-0005-0000-0000-0000534E0000}"/>
    <cellStyle name="Normal 15 5 2 2 2" xfId="8792" xr:uid="{00000000-0005-0000-0000-0000544E0000}"/>
    <cellStyle name="Normal 15 5 2 2 2 2" xfId="17613" xr:uid="{00000000-0005-0000-0000-0000554E0000}"/>
    <cellStyle name="Normal 15 5 2 2 3" xfId="13206" xr:uid="{00000000-0005-0000-0000-0000564E0000}"/>
    <cellStyle name="Normal 15 5 2 3" xfId="6587" xr:uid="{00000000-0005-0000-0000-0000574E0000}"/>
    <cellStyle name="Normal 15 5 2 3 2" xfId="15408" xr:uid="{00000000-0005-0000-0000-0000584E0000}"/>
    <cellStyle name="Normal 15 5 2 4" xfId="11001" xr:uid="{00000000-0005-0000-0000-0000594E0000}"/>
    <cellStyle name="Normal 15 5 3" xfId="1705" xr:uid="{00000000-0005-0000-0000-00005A4E0000}"/>
    <cellStyle name="Normal 15 5 3 2" xfId="3660" xr:uid="{00000000-0005-0000-0000-00005B4E0000}"/>
    <cellStyle name="Normal 15 5 3 2 2" xfId="8054" xr:uid="{00000000-0005-0000-0000-00005C4E0000}"/>
    <cellStyle name="Normal 15 5 3 2 2 2" xfId="16875" xr:uid="{00000000-0005-0000-0000-00005D4E0000}"/>
    <cellStyle name="Normal 15 5 3 2 3" xfId="12468" xr:uid="{00000000-0005-0000-0000-00005E4E0000}"/>
    <cellStyle name="Normal 15 5 3 3" xfId="5849" xr:uid="{00000000-0005-0000-0000-00005F4E0000}"/>
    <cellStyle name="Normal 15 5 3 3 2" xfId="14670" xr:uid="{00000000-0005-0000-0000-0000604E0000}"/>
    <cellStyle name="Normal 15 5 3 4" xfId="10263" xr:uid="{00000000-0005-0000-0000-0000614E0000}"/>
    <cellStyle name="Normal 15 5 4" xfId="2923" xr:uid="{00000000-0005-0000-0000-0000624E0000}"/>
    <cellStyle name="Normal 15 5 4 2" xfId="7317" xr:uid="{00000000-0005-0000-0000-0000634E0000}"/>
    <cellStyle name="Normal 15 5 4 2 2" xfId="16138" xr:uid="{00000000-0005-0000-0000-0000644E0000}"/>
    <cellStyle name="Normal 15 5 4 3" xfId="11731" xr:uid="{00000000-0005-0000-0000-0000654E0000}"/>
    <cellStyle name="Normal 15 5 5" xfId="5112" xr:uid="{00000000-0005-0000-0000-0000664E0000}"/>
    <cellStyle name="Normal 15 5 5 2" xfId="13933" xr:uid="{00000000-0005-0000-0000-0000674E0000}"/>
    <cellStyle name="Normal 15 5 6" xfId="9526" xr:uid="{00000000-0005-0000-0000-0000684E0000}"/>
    <cellStyle name="Normal 15 6" xfId="2045" xr:uid="{00000000-0005-0000-0000-0000694E0000}"/>
    <cellStyle name="Normal 15 6 2" xfId="4016" xr:uid="{00000000-0005-0000-0000-00006A4E0000}"/>
    <cellStyle name="Normal 15 6 2 2" xfId="8423" xr:uid="{00000000-0005-0000-0000-00006B4E0000}"/>
    <cellStyle name="Normal 15 6 2 2 2" xfId="17244" xr:uid="{00000000-0005-0000-0000-00006C4E0000}"/>
    <cellStyle name="Normal 15 6 2 3" xfId="12837" xr:uid="{00000000-0005-0000-0000-00006D4E0000}"/>
    <cellStyle name="Normal 15 6 3" xfId="6218" xr:uid="{00000000-0005-0000-0000-00006E4E0000}"/>
    <cellStyle name="Normal 15 6 3 2" xfId="15039" xr:uid="{00000000-0005-0000-0000-00006F4E0000}"/>
    <cellStyle name="Normal 15 6 4" xfId="10632" xr:uid="{00000000-0005-0000-0000-0000704E0000}"/>
    <cellStyle name="Normal 15 7" xfId="1377" xr:uid="{00000000-0005-0000-0000-0000714E0000}"/>
    <cellStyle name="Normal 15 7 2" xfId="3291" xr:uid="{00000000-0005-0000-0000-0000724E0000}"/>
    <cellStyle name="Normal 15 7 2 2" xfId="7685" xr:uid="{00000000-0005-0000-0000-0000734E0000}"/>
    <cellStyle name="Normal 15 7 2 2 2" xfId="16506" xr:uid="{00000000-0005-0000-0000-0000744E0000}"/>
    <cellStyle name="Normal 15 7 2 3" xfId="12099" xr:uid="{00000000-0005-0000-0000-0000754E0000}"/>
    <cellStyle name="Normal 15 7 3" xfId="5480" xr:uid="{00000000-0005-0000-0000-0000764E0000}"/>
    <cellStyle name="Normal 15 7 3 2" xfId="14301" xr:uid="{00000000-0005-0000-0000-0000774E0000}"/>
    <cellStyle name="Normal 15 7 4" xfId="9894" xr:uid="{00000000-0005-0000-0000-0000784E0000}"/>
    <cellStyle name="Normal 15 8" xfId="2556" xr:uid="{00000000-0005-0000-0000-0000794E0000}"/>
    <cellStyle name="Normal 15 8 2" xfId="6948" xr:uid="{00000000-0005-0000-0000-00007A4E0000}"/>
    <cellStyle name="Normal 15 8 2 2" xfId="15769" xr:uid="{00000000-0005-0000-0000-00007B4E0000}"/>
    <cellStyle name="Normal 15 8 3" xfId="11362" xr:uid="{00000000-0005-0000-0000-00007C4E0000}"/>
    <cellStyle name="Normal 15 9" xfId="4743" xr:uid="{00000000-0005-0000-0000-00007D4E0000}"/>
    <cellStyle name="Normal 15 9 2" xfId="13564" xr:uid="{00000000-0005-0000-0000-00007E4E0000}"/>
    <cellStyle name="Normal 150" xfId="27090" xr:uid="{00000000-0005-0000-0000-00007F4E0000}"/>
    <cellStyle name="Normal 151" xfId="27068" xr:uid="{00000000-0005-0000-0000-0000804E0000}"/>
    <cellStyle name="Normal 152" xfId="27073" xr:uid="{00000000-0005-0000-0000-0000814E0000}"/>
    <cellStyle name="Normal 153" xfId="27076" xr:uid="{00000000-0005-0000-0000-0000824E0000}"/>
    <cellStyle name="Normal 154" xfId="27080" xr:uid="{00000000-0005-0000-0000-0000834E0000}"/>
    <cellStyle name="Normal 155" xfId="27082" xr:uid="{00000000-0005-0000-0000-0000844E0000}"/>
    <cellStyle name="Normal 156" xfId="27079" xr:uid="{00000000-0005-0000-0000-0000854E0000}"/>
    <cellStyle name="Normal 157" xfId="27087" xr:uid="{00000000-0005-0000-0000-0000864E0000}"/>
    <cellStyle name="Normal 158" xfId="27078" xr:uid="{00000000-0005-0000-0000-0000874E0000}"/>
    <cellStyle name="Normal 159" xfId="27086" xr:uid="{00000000-0005-0000-0000-0000884E0000}"/>
    <cellStyle name="Normal 16" xfId="251" xr:uid="{00000000-0005-0000-0000-0000894E0000}"/>
    <cellStyle name="Normal 16 10" xfId="18088" xr:uid="{00000000-0005-0000-0000-00008A4E0000}"/>
    <cellStyle name="Normal 16 11" xfId="27318" xr:uid="{00000000-0005-0000-0000-00008B4E0000}"/>
    <cellStyle name="Normal 16 11 2" xfId="29394" xr:uid="{00000000-0005-0000-0000-00008C4E0000}"/>
    <cellStyle name="Normal 16 12" xfId="29266" xr:uid="{00000000-0005-0000-0000-00008D4E0000}"/>
    <cellStyle name="Normal 16 2" xfId="457" xr:uid="{00000000-0005-0000-0000-00008E4E0000}"/>
    <cellStyle name="Normal 16 2 10" xfId="28345" xr:uid="{00000000-0005-0000-0000-00008F4E0000}"/>
    <cellStyle name="Normal 16 2 11" xfId="29267" xr:uid="{00000000-0005-0000-0000-0000904E0000}"/>
    <cellStyle name="Normal 16 2 2" xfId="950" xr:uid="{00000000-0005-0000-0000-0000914E0000}"/>
    <cellStyle name="Normal 16 2 2 2" xfId="1329" xr:uid="{00000000-0005-0000-0000-0000924E0000}"/>
    <cellStyle name="Normal 16 2 2 2 2" xfId="2477" xr:uid="{00000000-0005-0000-0000-0000934E0000}"/>
    <cellStyle name="Normal 16 2 2 2 2 2" xfId="4647" xr:uid="{00000000-0005-0000-0000-0000944E0000}"/>
    <cellStyle name="Normal 16 2 2 2 2 2 2" xfId="9070" xr:uid="{00000000-0005-0000-0000-0000954E0000}"/>
    <cellStyle name="Normal 16 2 2 2 2 2 2 2" xfId="17891" xr:uid="{00000000-0005-0000-0000-0000964E0000}"/>
    <cellStyle name="Normal 16 2 2 2 2 2 3" xfId="13484" xr:uid="{00000000-0005-0000-0000-0000974E0000}"/>
    <cellStyle name="Normal 16 2 2 2 2 3" xfId="6865" xr:uid="{00000000-0005-0000-0000-0000984E0000}"/>
    <cellStyle name="Normal 16 2 2 2 2 3 2" xfId="15686" xr:uid="{00000000-0005-0000-0000-0000994E0000}"/>
    <cellStyle name="Normal 16 2 2 2 2 4" xfId="11279" xr:uid="{00000000-0005-0000-0000-00009A4E0000}"/>
    <cellStyle name="Normal 16 2 2 2 3" xfId="1981" xr:uid="{00000000-0005-0000-0000-00009B4E0000}"/>
    <cellStyle name="Normal 16 2 2 2 3 2" xfId="3938" xr:uid="{00000000-0005-0000-0000-00009C4E0000}"/>
    <cellStyle name="Normal 16 2 2 2 3 2 2" xfId="8332" xr:uid="{00000000-0005-0000-0000-00009D4E0000}"/>
    <cellStyle name="Normal 16 2 2 2 3 2 2 2" xfId="17153" xr:uid="{00000000-0005-0000-0000-00009E4E0000}"/>
    <cellStyle name="Normal 16 2 2 2 3 2 3" xfId="12746" xr:uid="{00000000-0005-0000-0000-00009F4E0000}"/>
    <cellStyle name="Normal 16 2 2 2 3 3" xfId="6127" xr:uid="{00000000-0005-0000-0000-0000A04E0000}"/>
    <cellStyle name="Normal 16 2 2 2 3 3 2" xfId="14948" xr:uid="{00000000-0005-0000-0000-0000A14E0000}"/>
    <cellStyle name="Normal 16 2 2 2 3 4" xfId="10541" xr:uid="{00000000-0005-0000-0000-0000A24E0000}"/>
    <cellStyle name="Normal 16 2 2 2 4" xfId="3201" xr:uid="{00000000-0005-0000-0000-0000A34E0000}"/>
    <cellStyle name="Normal 16 2 2 2 4 2" xfId="7595" xr:uid="{00000000-0005-0000-0000-0000A44E0000}"/>
    <cellStyle name="Normal 16 2 2 2 4 2 2" xfId="16416" xr:uid="{00000000-0005-0000-0000-0000A54E0000}"/>
    <cellStyle name="Normal 16 2 2 2 4 3" xfId="12009" xr:uid="{00000000-0005-0000-0000-0000A64E0000}"/>
    <cellStyle name="Normal 16 2 2 2 5" xfId="5390" xr:uid="{00000000-0005-0000-0000-0000A74E0000}"/>
    <cellStyle name="Normal 16 2 2 2 5 2" xfId="14211" xr:uid="{00000000-0005-0000-0000-0000A84E0000}"/>
    <cellStyle name="Normal 16 2 2 2 6" xfId="9804" xr:uid="{00000000-0005-0000-0000-0000A94E0000}"/>
    <cellStyle name="Normal 16 2 2 3" xfId="2216" xr:uid="{00000000-0005-0000-0000-0000AA4E0000}"/>
    <cellStyle name="Normal 16 2 2 3 2" xfId="4292" xr:uid="{00000000-0005-0000-0000-0000AB4E0000}"/>
    <cellStyle name="Normal 16 2 2 3 2 2" xfId="8701" xr:uid="{00000000-0005-0000-0000-0000AC4E0000}"/>
    <cellStyle name="Normal 16 2 2 3 2 2 2" xfId="17522" xr:uid="{00000000-0005-0000-0000-0000AD4E0000}"/>
    <cellStyle name="Normal 16 2 2 3 2 3" xfId="13115" xr:uid="{00000000-0005-0000-0000-0000AE4E0000}"/>
    <cellStyle name="Normal 16 2 2 3 3" xfId="6496" xr:uid="{00000000-0005-0000-0000-0000AF4E0000}"/>
    <cellStyle name="Normal 16 2 2 3 3 2" xfId="15317" xr:uid="{00000000-0005-0000-0000-0000B04E0000}"/>
    <cellStyle name="Normal 16 2 2 3 4" xfId="10910" xr:uid="{00000000-0005-0000-0000-0000B14E0000}"/>
    <cellStyle name="Normal 16 2 2 4" xfId="1626" xr:uid="{00000000-0005-0000-0000-0000B24E0000}"/>
    <cellStyle name="Normal 16 2 2 4 2" xfId="3569" xr:uid="{00000000-0005-0000-0000-0000B34E0000}"/>
    <cellStyle name="Normal 16 2 2 4 2 2" xfId="7963" xr:uid="{00000000-0005-0000-0000-0000B44E0000}"/>
    <cellStyle name="Normal 16 2 2 4 2 2 2" xfId="16784" xr:uid="{00000000-0005-0000-0000-0000B54E0000}"/>
    <cellStyle name="Normal 16 2 2 4 2 3" xfId="12377" xr:uid="{00000000-0005-0000-0000-0000B64E0000}"/>
    <cellStyle name="Normal 16 2 2 4 3" xfId="5758" xr:uid="{00000000-0005-0000-0000-0000B74E0000}"/>
    <cellStyle name="Normal 16 2 2 4 3 2" xfId="14579" xr:uid="{00000000-0005-0000-0000-0000B84E0000}"/>
    <cellStyle name="Normal 16 2 2 4 4" xfId="10172" xr:uid="{00000000-0005-0000-0000-0000B94E0000}"/>
    <cellStyle name="Normal 16 2 2 5" xfId="2832" xr:uid="{00000000-0005-0000-0000-0000BA4E0000}"/>
    <cellStyle name="Normal 16 2 2 5 2" xfId="7226" xr:uid="{00000000-0005-0000-0000-0000BB4E0000}"/>
    <cellStyle name="Normal 16 2 2 5 2 2" xfId="16047" xr:uid="{00000000-0005-0000-0000-0000BC4E0000}"/>
    <cellStyle name="Normal 16 2 2 5 3" xfId="11640" xr:uid="{00000000-0005-0000-0000-0000BD4E0000}"/>
    <cellStyle name="Normal 16 2 2 6" xfId="5021" xr:uid="{00000000-0005-0000-0000-0000BE4E0000}"/>
    <cellStyle name="Normal 16 2 2 6 2" xfId="13842" xr:uid="{00000000-0005-0000-0000-0000BF4E0000}"/>
    <cellStyle name="Normal 16 2 2 7" xfId="9435" xr:uid="{00000000-0005-0000-0000-0000C04E0000}"/>
    <cellStyle name="Normal 16 2 2 8" xfId="28346" xr:uid="{00000000-0005-0000-0000-0000C14E0000}"/>
    <cellStyle name="Normal 16 2 2 9" xfId="29268" xr:uid="{00000000-0005-0000-0000-0000C24E0000}"/>
    <cellStyle name="Normal 16 2 3" xfId="1240" xr:uid="{00000000-0005-0000-0000-0000C34E0000}"/>
    <cellStyle name="Normal 16 2 3 2" xfId="2346" xr:uid="{00000000-0005-0000-0000-0000C44E0000}"/>
    <cellStyle name="Normal 16 2 3 2 2" xfId="4463" xr:uid="{00000000-0005-0000-0000-0000C54E0000}"/>
    <cellStyle name="Normal 16 2 3 2 2 2" xfId="8885" xr:uid="{00000000-0005-0000-0000-0000C64E0000}"/>
    <cellStyle name="Normal 16 2 3 2 2 2 2" xfId="17706" xr:uid="{00000000-0005-0000-0000-0000C74E0000}"/>
    <cellStyle name="Normal 16 2 3 2 2 3" xfId="13299" xr:uid="{00000000-0005-0000-0000-0000C84E0000}"/>
    <cellStyle name="Normal 16 2 3 2 3" xfId="6680" xr:uid="{00000000-0005-0000-0000-0000C94E0000}"/>
    <cellStyle name="Normal 16 2 3 2 3 2" xfId="15501" xr:uid="{00000000-0005-0000-0000-0000CA4E0000}"/>
    <cellStyle name="Normal 16 2 3 2 4" xfId="11094" xr:uid="{00000000-0005-0000-0000-0000CB4E0000}"/>
    <cellStyle name="Normal 16 2 3 3" xfId="1797" xr:uid="{00000000-0005-0000-0000-0000CC4E0000}"/>
    <cellStyle name="Normal 16 2 3 3 2" xfId="3753" xr:uid="{00000000-0005-0000-0000-0000CD4E0000}"/>
    <cellStyle name="Normal 16 2 3 3 2 2" xfId="8147" xr:uid="{00000000-0005-0000-0000-0000CE4E0000}"/>
    <cellStyle name="Normal 16 2 3 3 2 2 2" xfId="16968" xr:uid="{00000000-0005-0000-0000-0000CF4E0000}"/>
    <cellStyle name="Normal 16 2 3 3 2 3" xfId="12561" xr:uid="{00000000-0005-0000-0000-0000D04E0000}"/>
    <cellStyle name="Normal 16 2 3 3 3" xfId="5942" xr:uid="{00000000-0005-0000-0000-0000D14E0000}"/>
    <cellStyle name="Normal 16 2 3 3 3 2" xfId="14763" xr:uid="{00000000-0005-0000-0000-0000D24E0000}"/>
    <cellStyle name="Normal 16 2 3 3 4" xfId="10356" xr:uid="{00000000-0005-0000-0000-0000D34E0000}"/>
    <cellStyle name="Normal 16 2 3 4" xfId="3016" xr:uid="{00000000-0005-0000-0000-0000D44E0000}"/>
    <cellStyle name="Normal 16 2 3 4 2" xfId="7410" xr:uid="{00000000-0005-0000-0000-0000D54E0000}"/>
    <cellStyle name="Normal 16 2 3 4 2 2" xfId="16231" xr:uid="{00000000-0005-0000-0000-0000D64E0000}"/>
    <cellStyle name="Normal 16 2 3 4 3" xfId="11824" xr:uid="{00000000-0005-0000-0000-0000D74E0000}"/>
    <cellStyle name="Normal 16 2 3 5" xfId="5205" xr:uid="{00000000-0005-0000-0000-0000D84E0000}"/>
    <cellStyle name="Normal 16 2 3 5 2" xfId="14026" xr:uid="{00000000-0005-0000-0000-0000D94E0000}"/>
    <cellStyle name="Normal 16 2 3 6" xfId="9619" xr:uid="{00000000-0005-0000-0000-0000DA4E0000}"/>
    <cellStyle name="Normal 16 2 4" xfId="2085" xr:uid="{00000000-0005-0000-0000-0000DB4E0000}"/>
    <cellStyle name="Normal 16 2 4 2" xfId="4108" xr:uid="{00000000-0005-0000-0000-0000DC4E0000}"/>
    <cellStyle name="Normal 16 2 4 2 2" xfId="8516" xr:uid="{00000000-0005-0000-0000-0000DD4E0000}"/>
    <cellStyle name="Normal 16 2 4 2 2 2" xfId="17337" xr:uid="{00000000-0005-0000-0000-0000DE4E0000}"/>
    <cellStyle name="Normal 16 2 4 2 3" xfId="12930" xr:uid="{00000000-0005-0000-0000-0000DF4E0000}"/>
    <cellStyle name="Normal 16 2 4 3" xfId="6311" xr:uid="{00000000-0005-0000-0000-0000E04E0000}"/>
    <cellStyle name="Normal 16 2 4 3 2" xfId="15132" xr:uid="{00000000-0005-0000-0000-0000E14E0000}"/>
    <cellStyle name="Normal 16 2 4 4" xfId="10725" xr:uid="{00000000-0005-0000-0000-0000E24E0000}"/>
    <cellStyle name="Normal 16 2 5" xfId="1443" xr:uid="{00000000-0005-0000-0000-0000E34E0000}"/>
    <cellStyle name="Normal 16 2 5 2" xfId="3384" xr:uid="{00000000-0005-0000-0000-0000E44E0000}"/>
    <cellStyle name="Normal 16 2 5 2 2" xfId="7778" xr:uid="{00000000-0005-0000-0000-0000E54E0000}"/>
    <cellStyle name="Normal 16 2 5 2 2 2" xfId="16599" xr:uid="{00000000-0005-0000-0000-0000E64E0000}"/>
    <cellStyle name="Normal 16 2 5 2 3" xfId="12192" xr:uid="{00000000-0005-0000-0000-0000E74E0000}"/>
    <cellStyle name="Normal 16 2 5 3" xfId="5573" xr:uid="{00000000-0005-0000-0000-0000E84E0000}"/>
    <cellStyle name="Normal 16 2 5 3 2" xfId="14394" xr:uid="{00000000-0005-0000-0000-0000E94E0000}"/>
    <cellStyle name="Normal 16 2 5 4" xfId="9987" xr:uid="{00000000-0005-0000-0000-0000EA4E0000}"/>
    <cellStyle name="Normal 16 2 6" xfId="2648" xr:uid="{00000000-0005-0000-0000-0000EB4E0000}"/>
    <cellStyle name="Normal 16 2 6 2" xfId="7041" xr:uid="{00000000-0005-0000-0000-0000EC4E0000}"/>
    <cellStyle name="Normal 16 2 6 2 2" xfId="15862" xr:uid="{00000000-0005-0000-0000-0000ED4E0000}"/>
    <cellStyle name="Normal 16 2 6 3" xfId="11455" xr:uid="{00000000-0005-0000-0000-0000EE4E0000}"/>
    <cellStyle name="Normal 16 2 7" xfId="4836" xr:uid="{00000000-0005-0000-0000-0000EF4E0000}"/>
    <cellStyle name="Normal 16 2 7 2" xfId="13657" xr:uid="{00000000-0005-0000-0000-0000F04E0000}"/>
    <cellStyle name="Normal 16 2 8" xfId="9250" xr:uid="{00000000-0005-0000-0000-0000F14E0000}"/>
    <cellStyle name="Normal 16 2 9" xfId="18237" xr:uid="{00000000-0005-0000-0000-0000F24E0000}"/>
    <cellStyle name="Normal 16 3" xfId="726" xr:uid="{00000000-0005-0000-0000-0000F34E0000}"/>
    <cellStyle name="Normal 16 3 10" xfId="29269" xr:uid="{00000000-0005-0000-0000-0000F44E0000}"/>
    <cellStyle name="Normal 16 3 2" xfId="1190" xr:uid="{00000000-0005-0000-0000-0000F54E0000}"/>
    <cellStyle name="Normal 16 3 2 2" xfId="2412" xr:uid="{00000000-0005-0000-0000-0000F64E0000}"/>
    <cellStyle name="Normal 16 3 2 2 2" xfId="4556" xr:uid="{00000000-0005-0000-0000-0000F74E0000}"/>
    <cellStyle name="Normal 16 3 2 2 2 2" xfId="8978" xr:uid="{00000000-0005-0000-0000-0000F84E0000}"/>
    <cellStyle name="Normal 16 3 2 2 2 2 2" xfId="17799" xr:uid="{00000000-0005-0000-0000-0000F94E0000}"/>
    <cellStyle name="Normal 16 3 2 2 2 3" xfId="13392" xr:uid="{00000000-0005-0000-0000-0000FA4E0000}"/>
    <cellStyle name="Normal 16 3 2 2 3" xfId="6773" xr:uid="{00000000-0005-0000-0000-0000FB4E0000}"/>
    <cellStyle name="Normal 16 3 2 2 3 2" xfId="15594" xr:uid="{00000000-0005-0000-0000-0000FC4E0000}"/>
    <cellStyle name="Normal 16 3 2 2 4" xfId="11187" xr:uid="{00000000-0005-0000-0000-0000FD4E0000}"/>
    <cellStyle name="Normal 16 3 2 3" xfId="1890" xr:uid="{00000000-0005-0000-0000-0000FE4E0000}"/>
    <cellStyle name="Normal 16 3 2 3 2" xfId="3846" xr:uid="{00000000-0005-0000-0000-0000FF4E0000}"/>
    <cellStyle name="Normal 16 3 2 3 2 2" xfId="8240" xr:uid="{00000000-0005-0000-0000-0000004F0000}"/>
    <cellStyle name="Normal 16 3 2 3 2 2 2" xfId="17061" xr:uid="{00000000-0005-0000-0000-0000014F0000}"/>
    <cellStyle name="Normal 16 3 2 3 2 3" xfId="12654" xr:uid="{00000000-0005-0000-0000-0000024F0000}"/>
    <cellStyle name="Normal 16 3 2 3 3" xfId="6035" xr:uid="{00000000-0005-0000-0000-0000034F0000}"/>
    <cellStyle name="Normal 16 3 2 3 3 2" xfId="14856" xr:uid="{00000000-0005-0000-0000-0000044F0000}"/>
    <cellStyle name="Normal 16 3 2 3 4" xfId="10449" xr:uid="{00000000-0005-0000-0000-0000054F0000}"/>
    <cellStyle name="Normal 16 3 2 4" xfId="3109" xr:uid="{00000000-0005-0000-0000-0000064F0000}"/>
    <cellStyle name="Normal 16 3 2 4 2" xfId="7503" xr:uid="{00000000-0005-0000-0000-0000074F0000}"/>
    <cellStyle name="Normal 16 3 2 4 2 2" xfId="16324" xr:uid="{00000000-0005-0000-0000-0000084F0000}"/>
    <cellStyle name="Normal 16 3 2 4 3" xfId="11917" xr:uid="{00000000-0005-0000-0000-0000094F0000}"/>
    <cellStyle name="Normal 16 3 2 5" xfId="5298" xr:uid="{00000000-0005-0000-0000-00000A4F0000}"/>
    <cellStyle name="Normal 16 3 2 5 2" xfId="14119" xr:uid="{00000000-0005-0000-0000-00000B4F0000}"/>
    <cellStyle name="Normal 16 3 2 6" xfId="9712" xr:uid="{00000000-0005-0000-0000-00000C4F0000}"/>
    <cellStyle name="Normal 16 3 3" xfId="2151" xr:uid="{00000000-0005-0000-0000-00000D4F0000}"/>
    <cellStyle name="Normal 16 3 3 2" xfId="4201" xr:uid="{00000000-0005-0000-0000-00000E4F0000}"/>
    <cellStyle name="Normal 16 3 3 2 2" xfId="8609" xr:uid="{00000000-0005-0000-0000-00000F4F0000}"/>
    <cellStyle name="Normal 16 3 3 2 2 2" xfId="17430" xr:uid="{00000000-0005-0000-0000-0000104F0000}"/>
    <cellStyle name="Normal 16 3 3 2 3" xfId="13023" xr:uid="{00000000-0005-0000-0000-0000114F0000}"/>
    <cellStyle name="Normal 16 3 3 3" xfId="6404" xr:uid="{00000000-0005-0000-0000-0000124F0000}"/>
    <cellStyle name="Normal 16 3 3 3 2" xfId="15225" xr:uid="{00000000-0005-0000-0000-0000134F0000}"/>
    <cellStyle name="Normal 16 3 3 4" xfId="10818" xr:uid="{00000000-0005-0000-0000-0000144F0000}"/>
    <cellStyle name="Normal 16 3 4" xfId="1535" xr:uid="{00000000-0005-0000-0000-0000154F0000}"/>
    <cellStyle name="Normal 16 3 4 2" xfId="3477" xr:uid="{00000000-0005-0000-0000-0000164F0000}"/>
    <cellStyle name="Normal 16 3 4 2 2" xfId="7871" xr:uid="{00000000-0005-0000-0000-0000174F0000}"/>
    <cellStyle name="Normal 16 3 4 2 2 2" xfId="16692" xr:uid="{00000000-0005-0000-0000-0000184F0000}"/>
    <cellStyle name="Normal 16 3 4 2 3" xfId="12285" xr:uid="{00000000-0005-0000-0000-0000194F0000}"/>
    <cellStyle name="Normal 16 3 4 3" xfId="5666" xr:uid="{00000000-0005-0000-0000-00001A4F0000}"/>
    <cellStyle name="Normal 16 3 4 3 2" xfId="14487" xr:uid="{00000000-0005-0000-0000-00001B4F0000}"/>
    <cellStyle name="Normal 16 3 4 4" xfId="10080" xr:uid="{00000000-0005-0000-0000-00001C4F0000}"/>
    <cellStyle name="Normal 16 3 5" xfId="2741" xr:uid="{00000000-0005-0000-0000-00001D4F0000}"/>
    <cellStyle name="Normal 16 3 5 2" xfId="7134" xr:uid="{00000000-0005-0000-0000-00001E4F0000}"/>
    <cellStyle name="Normal 16 3 5 2 2" xfId="15955" xr:uid="{00000000-0005-0000-0000-00001F4F0000}"/>
    <cellStyle name="Normal 16 3 5 3" xfId="11548" xr:uid="{00000000-0005-0000-0000-0000204F0000}"/>
    <cellStyle name="Normal 16 3 6" xfId="4929" xr:uid="{00000000-0005-0000-0000-0000214F0000}"/>
    <cellStyle name="Normal 16 3 6 2" xfId="13750" xr:uid="{00000000-0005-0000-0000-0000224F0000}"/>
    <cellStyle name="Normal 16 3 7" xfId="9343" xr:uid="{00000000-0005-0000-0000-0000234F0000}"/>
    <cellStyle name="Normal 16 3 8" xfId="18314" xr:uid="{00000000-0005-0000-0000-0000244F0000}"/>
    <cellStyle name="Normal 16 3 9" xfId="28347" xr:uid="{00000000-0005-0000-0000-0000254F0000}"/>
    <cellStyle name="Normal 16 4" xfId="1300" xr:uid="{00000000-0005-0000-0000-0000264F0000}"/>
    <cellStyle name="Normal 16 4 2" xfId="2281" xr:uid="{00000000-0005-0000-0000-0000274F0000}"/>
    <cellStyle name="Normal 16 4 2 2" xfId="4372" xr:uid="{00000000-0005-0000-0000-0000284F0000}"/>
    <cellStyle name="Normal 16 4 2 2 2" xfId="8793" xr:uid="{00000000-0005-0000-0000-0000294F0000}"/>
    <cellStyle name="Normal 16 4 2 2 2 2" xfId="17614" xr:uid="{00000000-0005-0000-0000-00002A4F0000}"/>
    <cellStyle name="Normal 16 4 2 2 3" xfId="13207" xr:uid="{00000000-0005-0000-0000-00002B4F0000}"/>
    <cellStyle name="Normal 16 4 2 3" xfId="6588" xr:uid="{00000000-0005-0000-0000-00002C4F0000}"/>
    <cellStyle name="Normal 16 4 2 3 2" xfId="15409" xr:uid="{00000000-0005-0000-0000-00002D4F0000}"/>
    <cellStyle name="Normal 16 4 2 4" xfId="11002" xr:uid="{00000000-0005-0000-0000-00002E4F0000}"/>
    <cellStyle name="Normal 16 4 3" xfId="1706" xr:uid="{00000000-0005-0000-0000-00002F4F0000}"/>
    <cellStyle name="Normal 16 4 3 2" xfId="3661" xr:uid="{00000000-0005-0000-0000-0000304F0000}"/>
    <cellStyle name="Normal 16 4 3 2 2" xfId="8055" xr:uid="{00000000-0005-0000-0000-0000314F0000}"/>
    <cellStyle name="Normal 16 4 3 2 2 2" xfId="16876" xr:uid="{00000000-0005-0000-0000-0000324F0000}"/>
    <cellStyle name="Normal 16 4 3 2 3" xfId="12469" xr:uid="{00000000-0005-0000-0000-0000334F0000}"/>
    <cellStyle name="Normal 16 4 3 3" xfId="5850" xr:uid="{00000000-0005-0000-0000-0000344F0000}"/>
    <cellStyle name="Normal 16 4 3 3 2" xfId="14671" xr:uid="{00000000-0005-0000-0000-0000354F0000}"/>
    <cellStyle name="Normal 16 4 3 4" xfId="10264" xr:uid="{00000000-0005-0000-0000-0000364F0000}"/>
    <cellStyle name="Normal 16 4 4" xfId="2924" xr:uid="{00000000-0005-0000-0000-0000374F0000}"/>
    <cellStyle name="Normal 16 4 4 2" xfId="7318" xr:uid="{00000000-0005-0000-0000-0000384F0000}"/>
    <cellStyle name="Normal 16 4 4 2 2" xfId="16139" xr:uid="{00000000-0005-0000-0000-0000394F0000}"/>
    <cellStyle name="Normal 16 4 4 3" xfId="11732" xr:uid="{00000000-0005-0000-0000-00003A4F0000}"/>
    <cellStyle name="Normal 16 4 5" xfId="5113" xr:uid="{00000000-0005-0000-0000-00003B4F0000}"/>
    <cellStyle name="Normal 16 4 5 2" xfId="13934" xr:uid="{00000000-0005-0000-0000-00003C4F0000}"/>
    <cellStyle name="Normal 16 4 6" xfId="9527" xr:uid="{00000000-0005-0000-0000-00003D4F0000}"/>
    <cellStyle name="Normal 16 4 7" xfId="18366" xr:uid="{00000000-0005-0000-0000-00003E4F0000}"/>
    <cellStyle name="Normal 16 5" xfId="2046" xr:uid="{00000000-0005-0000-0000-00003F4F0000}"/>
    <cellStyle name="Normal 16 5 2" xfId="4017" xr:uid="{00000000-0005-0000-0000-0000404F0000}"/>
    <cellStyle name="Normal 16 5 2 2" xfId="8424" xr:uid="{00000000-0005-0000-0000-0000414F0000}"/>
    <cellStyle name="Normal 16 5 2 2 2" xfId="17245" xr:uid="{00000000-0005-0000-0000-0000424F0000}"/>
    <cellStyle name="Normal 16 5 2 3" xfId="12838" xr:uid="{00000000-0005-0000-0000-0000434F0000}"/>
    <cellStyle name="Normal 16 5 3" xfId="6219" xr:uid="{00000000-0005-0000-0000-0000444F0000}"/>
    <cellStyle name="Normal 16 5 3 2" xfId="15040" xr:uid="{00000000-0005-0000-0000-0000454F0000}"/>
    <cellStyle name="Normal 16 5 4" xfId="10633" xr:uid="{00000000-0005-0000-0000-0000464F0000}"/>
    <cellStyle name="Normal 16 6" xfId="1378" xr:uid="{00000000-0005-0000-0000-0000474F0000}"/>
    <cellStyle name="Normal 16 6 2" xfId="3292" xr:uid="{00000000-0005-0000-0000-0000484F0000}"/>
    <cellStyle name="Normal 16 6 2 2" xfId="7686" xr:uid="{00000000-0005-0000-0000-0000494F0000}"/>
    <cellStyle name="Normal 16 6 2 2 2" xfId="16507" xr:uid="{00000000-0005-0000-0000-00004A4F0000}"/>
    <cellStyle name="Normal 16 6 2 3" xfId="12100" xr:uid="{00000000-0005-0000-0000-00004B4F0000}"/>
    <cellStyle name="Normal 16 6 3" xfId="5481" xr:uid="{00000000-0005-0000-0000-00004C4F0000}"/>
    <cellStyle name="Normal 16 6 3 2" xfId="14302" xr:uid="{00000000-0005-0000-0000-00004D4F0000}"/>
    <cellStyle name="Normal 16 6 4" xfId="9895" xr:uid="{00000000-0005-0000-0000-00004E4F0000}"/>
    <cellStyle name="Normal 16 7" xfId="2557" xr:uid="{00000000-0005-0000-0000-00004F4F0000}"/>
    <cellStyle name="Normal 16 7 2" xfId="6949" xr:uid="{00000000-0005-0000-0000-0000504F0000}"/>
    <cellStyle name="Normal 16 7 2 2" xfId="15770" xr:uid="{00000000-0005-0000-0000-0000514F0000}"/>
    <cellStyle name="Normal 16 7 3" xfId="11363" xr:uid="{00000000-0005-0000-0000-0000524F0000}"/>
    <cellStyle name="Normal 16 8" xfId="4744" xr:uid="{00000000-0005-0000-0000-0000534F0000}"/>
    <cellStyle name="Normal 16 8 2" xfId="13565" xr:uid="{00000000-0005-0000-0000-0000544F0000}"/>
    <cellStyle name="Normal 16 9" xfId="9158" xr:uid="{00000000-0005-0000-0000-0000554F0000}"/>
    <cellStyle name="Normal 160" xfId="27067" xr:uid="{00000000-0005-0000-0000-0000564F0000}"/>
    <cellStyle name="Normal 161" xfId="27091" xr:uid="{00000000-0005-0000-0000-0000574F0000}"/>
    <cellStyle name="Normal 162" xfId="27074" xr:uid="{00000000-0005-0000-0000-0000584F0000}"/>
    <cellStyle name="Normal 163" xfId="27069" xr:uid="{00000000-0005-0000-0000-0000594F0000}"/>
    <cellStyle name="Normal 164" xfId="27088" xr:uid="{00000000-0005-0000-0000-00005A4F0000}"/>
    <cellStyle name="Normal 165" xfId="25035" xr:uid="{00000000-0005-0000-0000-00005B4F0000}"/>
    <cellStyle name="Normal 166" xfId="27105" xr:uid="{00000000-0005-0000-0000-00005C4F0000}"/>
    <cellStyle name="Normal 167" xfId="27104" xr:uid="{00000000-0005-0000-0000-00005D4F0000}"/>
    <cellStyle name="Normal 168" xfId="27111" xr:uid="{00000000-0005-0000-0000-00005E4F0000}"/>
    <cellStyle name="Normal 169" xfId="27115" xr:uid="{00000000-0005-0000-0000-00005F4F0000}"/>
    <cellStyle name="Normal 17" xfId="270" xr:uid="{00000000-0005-0000-0000-0000604F0000}"/>
    <cellStyle name="Normal 17 2" xfId="471" xr:uid="{00000000-0005-0000-0000-0000614F0000}"/>
    <cellStyle name="Normal 17 2 2" xfId="763" xr:uid="{00000000-0005-0000-0000-0000624F0000}"/>
    <cellStyle name="Normal 17 2 3" xfId="964" xr:uid="{00000000-0005-0000-0000-0000634F0000}"/>
    <cellStyle name="Normal 17 2 4" xfId="27467" xr:uid="{00000000-0005-0000-0000-0000644F0000}"/>
    <cellStyle name="Normal 17 3" xfId="764" xr:uid="{00000000-0005-0000-0000-0000654F0000}"/>
    <cellStyle name="Normal 17 3 2" xfId="18315" xr:uid="{00000000-0005-0000-0000-0000664F0000}"/>
    <cellStyle name="Normal 17 3 3" xfId="28349" xr:uid="{00000000-0005-0000-0000-0000674F0000}"/>
    <cellStyle name="Normal 17 3 4" xfId="29271" xr:uid="{00000000-0005-0000-0000-0000684F0000}"/>
    <cellStyle name="Normal 17 4" xfId="1161" xr:uid="{00000000-0005-0000-0000-0000694F0000}"/>
    <cellStyle name="Normal 17 4 2" xfId="18367" xr:uid="{00000000-0005-0000-0000-00006A4F0000}"/>
    <cellStyle name="Normal 17 4 3" xfId="27510" xr:uid="{00000000-0005-0000-0000-00006B4F0000}"/>
    <cellStyle name="Normal 17 4 4" xfId="27540" xr:uid="{00000000-0005-0000-0000-00006C4F0000}"/>
    <cellStyle name="Normal 17 5" xfId="28348" xr:uid="{00000000-0005-0000-0000-00006D4F0000}"/>
    <cellStyle name="Normal 17 6" xfId="29270" xr:uid="{00000000-0005-0000-0000-00006E4F0000}"/>
    <cellStyle name="Normal 170" xfId="27117" xr:uid="{00000000-0005-0000-0000-00006F4F0000}"/>
    <cellStyle name="Normal 171" xfId="27118" xr:uid="{00000000-0005-0000-0000-0000704F0000}"/>
    <cellStyle name="Normal 172" xfId="27119" xr:uid="{00000000-0005-0000-0000-0000714F0000}"/>
    <cellStyle name="Normal 173" xfId="27109" xr:uid="{00000000-0005-0000-0000-0000724F0000}"/>
    <cellStyle name="Normal 174" xfId="27123" xr:uid="{00000000-0005-0000-0000-0000734F0000}"/>
    <cellStyle name="Normal 175" xfId="27099" xr:uid="{00000000-0005-0000-0000-0000744F0000}"/>
    <cellStyle name="Normal 176" xfId="27100" xr:uid="{00000000-0005-0000-0000-0000754F0000}"/>
    <cellStyle name="Normal 177" xfId="27106" xr:uid="{00000000-0005-0000-0000-0000764F0000}"/>
    <cellStyle name="Normal 178" xfId="27124" xr:uid="{00000000-0005-0000-0000-0000774F0000}"/>
    <cellStyle name="Normal 179" xfId="27102" xr:uid="{00000000-0005-0000-0000-0000784F0000}"/>
    <cellStyle name="Normal 18" xfId="473" xr:uid="{00000000-0005-0000-0000-0000794F0000}"/>
    <cellStyle name="Normal 18 10" xfId="2550" xr:uid="{00000000-0005-0000-0000-00007A4F0000}"/>
    <cellStyle name="Normal 18 10 2" xfId="6942" xr:uid="{00000000-0005-0000-0000-00007B4F0000}"/>
    <cellStyle name="Normal 18 10 2 2" xfId="15763" xr:uid="{00000000-0005-0000-0000-00007C4F0000}"/>
    <cellStyle name="Normal 18 10 3" xfId="11356" xr:uid="{00000000-0005-0000-0000-00007D4F0000}"/>
    <cellStyle name="Normal 18 11" xfId="4725" xr:uid="{00000000-0005-0000-0000-00007E4F0000}"/>
    <cellStyle name="Normal 18 11 2" xfId="13547" xr:uid="{00000000-0005-0000-0000-00007F4F0000}"/>
    <cellStyle name="Normal 18 12" xfId="9127" xr:uid="{00000000-0005-0000-0000-0000804F0000}"/>
    <cellStyle name="Normal 18 13" xfId="28350" xr:uid="{00000000-0005-0000-0000-0000814F0000}"/>
    <cellStyle name="Normal 18 14" xfId="29272" xr:uid="{00000000-0005-0000-0000-0000824F0000}"/>
    <cellStyle name="Normal 18 2" xfId="966" xr:uid="{00000000-0005-0000-0000-0000834F0000}"/>
    <cellStyle name="Normal 18 2 10" xfId="9134" xr:uid="{00000000-0005-0000-0000-0000844F0000}"/>
    <cellStyle name="Normal 18 2 11" xfId="28351" xr:uid="{00000000-0005-0000-0000-0000854F0000}"/>
    <cellStyle name="Normal 18 2 12" xfId="29273" xr:uid="{00000000-0005-0000-0000-0000864F0000}"/>
    <cellStyle name="Normal 18 2 2" xfId="1076" xr:uid="{00000000-0005-0000-0000-0000874F0000}"/>
    <cellStyle name="Normal 18 2 2 2" xfId="1266" xr:uid="{00000000-0005-0000-0000-0000884F0000}"/>
    <cellStyle name="Normal 18 2 2 2 2" xfId="1162" xr:uid="{00000000-0005-0000-0000-0000894F0000}"/>
    <cellStyle name="Normal 18 2 2 2 2 2" xfId="1338" xr:uid="{00000000-0005-0000-0000-00008A4F0000}"/>
    <cellStyle name="Normal 18 2 2 2 2 2 10" xfId="25599" xr:uid="{00000000-0005-0000-0000-00008B4F0000}"/>
    <cellStyle name="Normal 18 2 2 2 2 2 11" xfId="23837" xr:uid="{00000000-0005-0000-0000-00008C4F0000}"/>
    <cellStyle name="Normal 18 2 2 2 2 2 12" xfId="26509" xr:uid="{00000000-0005-0000-0000-00008D4F0000}"/>
    <cellStyle name="Normal 18 2 2 2 2 2 13" xfId="26748" xr:uid="{00000000-0005-0000-0000-00008E4F0000}"/>
    <cellStyle name="Normal 18 2 2 2 2 2 2" xfId="2500" xr:uid="{00000000-0005-0000-0000-00008F4F0000}"/>
    <cellStyle name="Normal 18 2 2 2 2 2 2 2" xfId="4671" xr:uid="{00000000-0005-0000-0000-0000904F0000}"/>
    <cellStyle name="Normal 18 2 2 2 2 2 2 2 2" xfId="9094" xr:uid="{00000000-0005-0000-0000-0000914F0000}"/>
    <cellStyle name="Normal 18 2 2 2 2 2 2 2 2 2" xfId="17915" xr:uid="{00000000-0005-0000-0000-0000924F0000}"/>
    <cellStyle name="Normal 18 2 2 2 2 2 2 2 3" xfId="13508" xr:uid="{00000000-0005-0000-0000-0000934F0000}"/>
    <cellStyle name="Normal 18 2 2 2 2 2 2 3" xfId="6889" xr:uid="{00000000-0005-0000-0000-0000944F0000}"/>
    <cellStyle name="Normal 18 2 2 2 2 2 2 3 2" xfId="15710" xr:uid="{00000000-0005-0000-0000-0000954F0000}"/>
    <cellStyle name="Normal 18 2 2 2 2 2 2 4" xfId="11303" xr:uid="{00000000-0005-0000-0000-0000964F0000}"/>
    <cellStyle name="Normal 18 2 2 2 2 2 3" xfId="2005" xr:uid="{00000000-0005-0000-0000-0000974F0000}"/>
    <cellStyle name="Normal 18 2 2 2 2 2 3 2" xfId="3962" xr:uid="{00000000-0005-0000-0000-0000984F0000}"/>
    <cellStyle name="Normal 18 2 2 2 2 2 3 2 2" xfId="8356" xr:uid="{00000000-0005-0000-0000-0000994F0000}"/>
    <cellStyle name="Normal 18 2 2 2 2 2 3 2 2 2" xfId="17177" xr:uid="{00000000-0005-0000-0000-00009A4F0000}"/>
    <cellStyle name="Normal 18 2 2 2 2 2 3 2 3" xfId="12770" xr:uid="{00000000-0005-0000-0000-00009B4F0000}"/>
    <cellStyle name="Normal 18 2 2 2 2 2 3 3" xfId="6151" xr:uid="{00000000-0005-0000-0000-00009C4F0000}"/>
    <cellStyle name="Normal 18 2 2 2 2 2 3 3 2" xfId="14972" xr:uid="{00000000-0005-0000-0000-00009D4F0000}"/>
    <cellStyle name="Normal 18 2 2 2 2 2 3 4" xfId="10565" xr:uid="{00000000-0005-0000-0000-00009E4F0000}"/>
    <cellStyle name="Normal 18 2 2 2 2 2 4" xfId="3225" xr:uid="{00000000-0005-0000-0000-00009F4F0000}"/>
    <cellStyle name="Normal 18 2 2 2 2 2 4 2" xfId="7619" xr:uid="{00000000-0005-0000-0000-0000A04F0000}"/>
    <cellStyle name="Normal 18 2 2 2 2 2 4 2 2" xfId="16440" xr:uid="{00000000-0005-0000-0000-0000A14F0000}"/>
    <cellStyle name="Normal 18 2 2 2 2 2 4 3" xfId="12033" xr:uid="{00000000-0005-0000-0000-0000A24F0000}"/>
    <cellStyle name="Normal 18 2 2 2 2 2 5" xfId="5414" xr:uid="{00000000-0005-0000-0000-0000A34F0000}"/>
    <cellStyle name="Normal 18 2 2 2 2 2 5 2" xfId="14235" xr:uid="{00000000-0005-0000-0000-0000A44F0000}"/>
    <cellStyle name="Normal 18 2 2 2 2 2 6" xfId="9828" xr:uid="{00000000-0005-0000-0000-0000A54F0000}"/>
    <cellStyle name="Normal 18 2 2 2 2 2 7" xfId="21736" xr:uid="{00000000-0005-0000-0000-0000A64F0000}"/>
    <cellStyle name="Normal 18 2 2 2 2 2 8" xfId="23920" xr:uid="{00000000-0005-0000-0000-0000A74F0000}"/>
    <cellStyle name="Normal 18 2 2 2 2 2 9" xfId="21739" xr:uid="{00000000-0005-0000-0000-0000A84F0000}"/>
    <cellStyle name="Normal 18 2 2 2 2 3" xfId="2239" xr:uid="{00000000-0005-0000-0000-0000A94F0000}"/>
    <cellStyle name="Normal 18 2 2 2 2 3 2" xfId="4316" xr:uid="{00000000-0005-0000-0000-0000AA4F0000}"/>
    <cellStyle name="Normal 18 2 2 2 2 3 2 2" xfId="8725" xr:uid="{00000000-0005-0000-0000-0000AB4F0000}"/>
    <cellStyle name="Normal 18 2 2 2 2 3 2 2 2" xfId="17546" xr:uid="{00000000-0005-0000-0000-0000AC4F0000}"/>
    <cellStyle name="Normal 18 2 2 2 2 3 2 3" xfId="13139" xr:uid="{00000000-0005-0000-0000-0000AD4F0000}"/>
    <cellStyle name="Normal 18 2 2 2 2 3 3" xfId="6520" xr:uid="{00000000-0005-0000-0000-0000AE4F0000}"/>
    <cellStyle name="Normal 18 2 2 2 2 3 3 2" xfId="15341" xr:uid="{00000000-0005-0000-0000-0000AF4F0000}"/>
    <cellStyle name="Normal 18 2 2 2 2 3 4" xfId="10934" xr:uid="{00000000-0005-0000-0000-0000B04F0000}"/>
    <cellStyle name="Normal 18 2 2 2 2 4" xfId="1650" xr:uid="{00000000-0005-0000-0000-0000B14F0000}"/>
    <cellStyle name="Normal 18 2 2 2 2 4 2" xfId="3593" xr:uid="{00000000-0005-0000-0000-0000B24F0000}"/>
    <cellStyle name="Normal 18 2 2 2 2 4 2 2" xfId="7987" xr:uid="{00000000-0005-0000-0000-0000B34F0000}"/>
    <cellStyle name="Normal 18 2 2 2 2 4 2 2 2" xfId="16808" xr:uid="{00000000-0005-0000-0000-0000B44F0000}"/>
    <cellStyle name="Normal 18 2 2 2 2 4 2 3" xfId="12401" xr:uid="{00000000-0005-0000-0000-0000B54F0000}"/>
    <cellStyle name="Normal 18 2 2 2 2 4 3" xfId="5782" xr:uid="{00000000-0005-0000-0000-0000B64F0000}"/>
    <cellStyle name="Normal 18 2 2 2 2 4 3 2" xfId="14603" xr:uid="{00000000-0005-0000-0000-0000B74F0000}"/>
    <cellStyle name="Normal 18 2 2 2 2 4 4" xfId="10196" xr:uid="{00000000-0005-0000-0000-0000B84F0000}"/>
    <cellStyle name="Normal 18 2 2 2 2 5" xfId="2856" xr:uid="{00000000-0005-0000-0000-0000B94F0000}"/>
    <cellStyle name="Normal 18 2 2 2 2 5 2" xfId="7250" xr:uid="{00000000-0005-0000-0000-0000BA4F0000}"/>
    <cellStyle name="Normal 18 2 2 2 2 5 2 2" xfId="16071" xr:uid="{00000000-0005-0000-0000-0000BB4F0000}"/>
    <cellStyle name="Normal 18 2 2 2 2 5 3" xfId="11664" xr:uid="{00000000-0005-0000-0000-0000BC4F0000}"/>
    <cellStyle name="Normal 18 2 2 2 2 6" xfId="5045" xr:uid="{00000000-0005-0000-0000-0000BD4F0000}"/>
    <cellStyle name="Normal 18 2 2 2 2 6 2" xfId="13866" xr:uid="{00000000-0005-0000-0000-0000BE4F0000}"/>
    <cellStyle name="Normal 18 2 2 2 2 7" xfId="9459" xr:uid="{00000000-0005-0000-0000-0000BF4F0000}"/>
    <cellStyle name="Normal 18 2 2 2 3" xfId="1274" xr:uid="{00000000-0005-0000-0000-0000C04F0000}"/>
    <cellStyle name="Normal 18 2 2 2 3 10" xfId="25277" xr:uid="{00000000-0005-0000-0000-0000C14F0000}"/>
    <cellStyle name="Normal 18 2 2 2 3 11" xfId="25884" xr:uid="{00000000-0005-0000-0000-0000C24F0000}"/>
    <cellStyle name="Normal 18 2 2 2 3 12" xfId="25766" xr:uid="{00000000-0005-0000-0000-0000C34F0000}"/>
    <cellStyle name="Normal 18 2 2 2 3 13" xfId="27037" xr:uid="{00000000-0005-0000-0000-0000C44F0000}"/>
    <cellStyle name="Normal 18 2 2 2 3 2" xfId="2369" xr:uid="{00000000-0005-0000-0000-0000C54F0000}"/>
    <cellStyle name="Normal 18 2 2 2 3 2 2" xfId="4487" xr:uid="{00000000-0005-0000-0000-0000C64F0000}"/>
    <cellStyle name="Normal 18 2 2 2 3 2 2 2" xfId="8909" xr:uid="{00000000-0005-0000-0000-0000C74F0000}"/>
    <cellStyle name="Normal 18 2 2 2 3 2 2 2 2" xfId="17730" xr:uid="{00000000-0005-0000-0000-0000C84F0000}"/>
    <cellStyle name="Normal 18 2 2 2 3 2 2 3" xfId="13323" xr:uid="{00000000-0005-0000-0000-0000C94F0000}"/>
    <cellStyle name="Normal 18 2 2 2 3 2 3" xfId="6704" xr:uid="{00000000-0005-0000-0000-0000CA4F0000}"/>
    <cellStyle name="Normal 18 2 2 2 3 2 3 2" xfId="15525" xr:uid="{00000000-0005-0000-0000-0000CB4F0000}"/>
    <cellStyle name="Normal 18 2 2 2 3 2 4" xfId="11118" xr:uid="{00000000-0005-0000-0000-0000CC4F0000}"/>
    <cellStyle name="Normal 18 2 2 2 3 3" xfId="1821" xr:uid="{00000000-0005-0000-0000-0000CD4F0000}"/>
    <cellStyle name="Normal 18 2 2 2 3 3 2" xfId="3777" xr:uid="{00000000-0005-0000-0000-0000CE4F0000}"/>
    <cellStyle name="Normal 18 2 2 2 3 3 2 2" xfId="8171" xr:uid="{00000000-0005-0000-0000-0000CF4F0000}"/>
    <cellStyle name="Normal 18 2 2 2 3 3 2 2 2" xfId="16992" xr:uid="{00000000-0005-0000-0000-0000D04F0000}"/>
    <cellStyle name="Normal 18 2 2 2 3 3 2 3" xfId="12585" xr:uid="{00000000-0005-0000-0000-0000D14F0000}"/>
    <cellStyle name="Normal 18 2 2 2 3 3 3" xfId="5966" xr:uid="{00000000-0005-0000-0000-0000D24F0000}"/>
    <cellStyle name="Normal 18 2 2 2 3 3 3 2" xfId="14787" xr:uid="{00000000-0005-0000-0000-0000D34F0000}"/>
    <cellStyle name="Normal 18 2 2 2 3 3 4" xfId="10380" xr:uid="{00000000-0005-0000-0000-0000D44F0000}"/>
    <cellStyle name="Normal 18 2 2 2 3 4" xfId="3040" xr:uid="{00000000-0005-0000-0000-0000D54F0000}"/>
    <cellStyle name="Normal 18 2 2 2 3 4 2" xfId="7434" xr:uid="{00000000-0005-0000-0000-0000D64F0000}"/>
    <cellStyle name="Normal 18 2 2 2 3 4 2 2" xfId="16255" xr:uid="{00000000-0005-0000-0000-0000D74F0000}"/>
    <cellStyle name="Normal 18 2 2 2 3 4 3" xfId="11848" xr:uid="{00000000-0005-0000-0000-0000D84F0000}"/>
    <cellStyle name="Normal 18 2 2 2 3 5" xfId="5229" xr:uid="{00000000-0005-0000-0000-0000D94F0000}"/>
    <cellStyle name="Normal 18 2 2 2 3 5 2" xfId="14050" xr:uid="{00000000-0005-0000-0000-0000DA4F0000}"/>
    <cellStyle name="Normal 18 2 2 2 3 6" xfId="9643" xr:uid="{00000000-0005-0000-0000-0000DB4F0000}"/>
    <cellStyle name="Normal 18 2 2 2 3 7" xfId="23571" xr:uid="{00000000-0005-0000-0000-0000DC4F0000}"/>
    <cellStyle name="Normal 18 2 2 2 3 8" xfId="22602" xr:uid="{00000000-0005-0000-0000-0000DD4F0000}"/>
    <cellStyle name="Normal 18 2 2 2 3 9" xfId="23997" xr:uid="{00000000-0005-0000-0000-0000DE4F0000}"/>
    <cellStyle name="Normal 18 2 2 2 4" xfId="2108" xr:uid="{00000000-0005-0000-0000-0000DF4F0000}"/>
    <cellStyle name="Normal 18 2 2 2 4 2" xfId="4132" xr:uid="{00000000-0005-0000-0000-0000E04F0000}"/>
    <cellStyle name="Normal 18 2 2 2 4 2 2" xfId="8540" xr:uid="{00000000-0005-0000-0000-0000E14F0000}"/>
    <cellStyle name="Normal 18 2 2 2 4 2 2 2" xfId="17361" xr:uid="{00000000-0005-0000-0000-0000E24F0000}"/>
    <cellStyle name="Normal 18 2 2 2 4 2 3" xfId="12954" xr:uid="{00000000-0005-0000-0000-0000E34F0000}"/>
    <cellStyle name="Normal 18 2 2 2 4 3" xfId="6335" xr:uid="{00000000-0005-0000-0000-0000E44F0000}"/>
    <cellStyle name="Normal 18 2 2 2 4 3 2" xfId="15156" xr:uid="{00000000-0005-0000-0000-0000E54F0000}"/>
    <cellStyle name="Normal 18 2 2 2 4 4" xfId="10749" xr:uid="{00000000-0005-0000-0000-0000E64F0000}"/>
    <cellStyle name="Normal 18 2 2 2 5" xfId="1466" xr:uid="{00000000-0005-0000-0000-0000E74F0000}"/>
    <cellStyle name="Normal 18 2 2 2 5 2" xfId="3408" xr:uid="{00000000-0005-0000-0000-0000E84F0000}"/>
    <cellStyle name="Normal 18 2 2 2 5 2 2" xfId="7802" xr:uid="{00000000-0005-0000-0000-0000E94F0000}"/>
    <cellStyle name="Normal 18 2 2 2 5 2 2 2" xfId="16623" xr:uid="{00000000-0005-0000-0000-0000EA4F0000}"/>
    <cellStyle name="Normal 18 2 2 2 5 2 3" xfId="12216" xr:uid="{00000000-0005-0000-0000-0000EB4F0000}"/>
    <cellStyle name="Normal 18 2 2 2 5 3" xfId="5597" xr:uid="{00000000-0005-0000-0000-0000EC4F0000}"/>
    <cellStyle name="Normal 18 2 2 2 5 3 2" xfId="14418" xr:uid="{00000000-0005-0000-0000-0000ED4F0000}"/>
    <cellStyle name="Normal 18 2 2 2 5 4" xfId="10011" xr:uid="{00000000-0005-0000-0000-0000EE4F0000}"/>
    <cellStyle name="Normal 18 2 2 2 6" xfId="2672" xr:uid="{00000000-0005-0000-0000-0000EF4F0000}"/>
    <cellStyle name="Normal 18 2 2 2 6 2" xfId="7065" xr:uid="{00000000-0005-0000-0000-0000F04F0000}"/>
    <cellStyle name="Normal 18 2 2 2 6 2 2" xfId="15886" xr:uid="{00000000-0005-0000-0000-0000F14F0000}"/>
    <cellStyle name="Normal 18 2 2 2 6 3" xfId="11479" xr:uid="{00000000-0005-0000-0000-0000F24F0000}"/>
    <cellStyle name="Normal 18 2 2 2 7" xfId="4860" xr:uid="{00000000-0005-0000-0000-0000F34F0000}"/>
    <cellStyle name="Normal 18 2 2 2 7 2" xfId="13681" xr:uid="{00000000-0005-0000-0000-0000F44F0000}"/>
    <cellStyle name="Normal 18 2 2 2 8" xfId="9274" xr:uid="{00000000-0005-0000-0000-0000F54F0000}"/>
    <cellStyle name="Normal 18 2 2 3" xfId="1115" xr:uid="{00000000-0005-0000-0000-0000F64F0000}"/>
    <cellStyle name="Normal 18 2 2 3 2" xfId="1062" xr:uid="{00000000-0005-0000-0000-0000F74F0000}"/>
    <cellStyle name="Normal 18 2 2 3 2 10" xfId="24861" xr:uid="{00000000-0005-0000-0000-0000F84F0000}"/>
    <cellStyle name="Normal 18 2 2 3 2 11" xfId="25881" xr:uid="{00000000-0005-0000-0000-0000F94F0000}"/>
    <cellStyle name="Normal 18 2 2 3 2 12" xfId="26279" xr:uid="{00000000-0005-0000-0000-0000FA4F0000}"/>
    <cellStyle name="Normal 18 2 2 3 2 13" xfId="24191" xr:uid="{00000000-0005-0000-0000-0000FB4F0000}"/>
    <cellStyle name="Normal 18 2 2 3 2 2" xfId="2435" xr:uid="{00000000-0005-0000-0000-0000FC4F0000}"/>
    <cellStyle name="Normal 18 2 2 3 2 2 2" xfId="4579" xr:uid="{00000000-0005-0000-0000-0000FD4F0000}"/>
    <cellStyle name="Normal 18 2 2 3 2 2 2 2" xfId="9002" xr:uid="{00000000-0005-0000-0000-0000FE4F0000}"/>
    <cellStyle name="Normal 18 2 2 3 2 2 2 2 2" xfId="17823" xr:uid="{00000000-0005-0000-0000-0000FF4F0000}"/>
    <cellStyle name="Normal 18 2 2 3 2 2 2 3" xfId="13416" xr:uid="{00000000-0005-0000-0000-000000500000}"/>
    <cellStyle name="Normal 18 2 2 3 2 2 3" xfId="6797" xr:uid="{00000000-0005-0000-0000-000001500000}"/>
    <cellStyle name="Normal 18 2 2 3 2 2 3 2" xfId="15618" xr:uid="{00000000-0005-0000-0000-000002500000}"/>
    <cellStyle name="Normal 18 2 2 3 2 2 4" xfId="11211" xr:uid="{00000000-0005-0000-0000-000003500000}"/>
    <cellStyle name="Normal 18 2 2 3 2 3" xfId="1913" xr:uid="{00000000-0005-0000-0000-000004500000}"/>
    <cellStyle name="Normal 18 2 2 3 2 3 2" xfId="3870" xr:uid="{00000000-0005-0000-0000-000005500000}"/>
    <cellStyle name="Normal 18 2 2 3 2 3 2 2" xfId="8264" xr:uid="{00000000-0005-0000-0000-000006500000}"/>
    <cellStyle name="Normal 18 2 2 3 2 3 2 2 2" xfId="17085" xr:uid="{00000000-0005-0000-0000-000007500000}"/>
    <cellStyle name="Normal 18 2 2 3 2 3 2 3" xfId="12678" xr:uid="{00000000-0005-0000-0000-000008500000}"/>
    <cellStyle name="Normal 18 2 2 3 2 3 3" xfId="6059" xr:uid="{00000000-0005-0000-0000-000009500000}"/>
    <cellStyle name="Normal 18 2 2 3 2 3 3 2" xfId="14880" xr:uid="{00000000-0005-0000-0000-00000A500000}"/>
    <cellStyle name="Normal 18 2 2 3 2 3 4" xfId="10473" xr:uid="{00000000-0005-0000-0000-00000B500000}"/>
    <cellStyle name="Normal 18 2 2 3 2 4" xfId="3133" xr:uid="{00000000-0005-0000-0000-00000C500000}"/>
    <cellStyle name="Normal 18 2 2 3 2 4 2" xfId="7527" xr:uid="{00000000-0005-0000-0000-00000D500000}"/>
    <cellStyle name="Normal 18 2 2 3 2 4 2 2" xfId="16348" xr:uid="{00000000-0005-0000-0000-00000E500000}"/>
    <cellStyle name="Normal 18 2 2 3 2 4 3" xfId="11941" xr:uid="{00000000-0005-0000-0000-00000F500000}"/>
    <cellStyle name="Normal 18 2 2 3 2 5" xfId="5322" xr:uid="{00000000-0005-0000-0000-000010500000}"/>
    <cellStyle name="Normal 18 2 2 3 2 5 2" xfId="14143" xr:uid="{00000000-0005-0000-0000-000011500000}"/>
    <cellStyle name="Normal 18 2 2 3 2 6" xfId="9736" xr:uid="{00000000-0005-0000-0000-000012500000}"/>
    <cellStyle name="Normal 18 2 2 3 2 7" xfId="20722" xr:uid="{00000000-0005-0000-0000-000013500000}"/>
    <cellStyle name="Normal 18 2 2 3 2 8" xfId="24276" xr:uid="{00000000-0005-0000-0000-000014500000}"/>
    <cellStyle name="Normal 18 2 2 3 2 9" xfId="24126" xr:uid="{00000000-0005-0000-0000-000015500000}"/>
    <cellStyle name="Normal 18 2 2 3 3" xfId="2174" xr:uid="{00000000-0005-0000-0000-000016500000}"/>
    <cellStyle name="Normal 18 2 2 3 3 2" xfId="4224" xr:uid="{00000000-0005-0000-0000-000017500000}"/>
    <cellStyle name="Normal 18 2 2 3 3 2 2" xfId="8633" xr:uid="{00000000-0005-0000-0000-000018500000}"/>
    <cellStyle name="Normal 18 2 2 3 3 2 2 2" xfId="17454" xr:uid="{00000000-0005-0000-0000-000019500000}"/>
    <cellStyle name="Normal 18 2 2 3 3 2 3" xfId="13047" xr:uid="{00000000-0005-0000-0000-00001A500000}"/>
    <cellStyle name="Normal 18 2 2 3 3 3" xfId="6428" xr:uid="{00000000-0005-0000-0000-00001B500000}"/>
    <cellStyle name="Normal 18 2 2 3 3 3 2" xfId="15249" xr:uid="{00000000-0005-0000-0000-00001C500000}"/>
    <cellStyle name="Normal 18 2 2 3 3 4" xfId="10842" xr:uid="{00000000-0005-0000-0000-00001D500000}"/>
    <cellStyle name="Normal 18 2 2 3 4" xfId="1558" xr:uid="{00000000-0005-0000-0000-00001E500000}"/>
    <cellStyle name="Normal 18 2 2 3 4 2" xfId="3501" xr:uid="{00000000-0005-0000-0000-00001F500000}"/>
    <cellStyle name="Normal 18 2 2 3 4 2 2" xfId="7895" xr:uid="{00000000-0005-0000-0000-000020500000}"/>
    <cellStyle name="Normal 18 2 2 3 4 2 2 2" xfId="16716" xr:uid="{00000000-0005-0000-0000-000021500000}"/>
    <cellStyle name="Normal 18 2 2 3 4 2 3" xfId="12309" xr:uid="{00000000-0005-0000-0000-000022500000}"/>
    <cellStyle name="Normal 18 2 2 3 4 3" xfId="5690" xr:uid="{00000000-0005-0000-0000-000023500000}"/>
    <cellStyle name="Normal 18 2 2 3 4 3 2" xfId="14511" xr:uid="{00000000-0005-0000-0000-000024500000}"/>
    <cellStyle name="Normal 18 2 2 3 4 4" xfId="10104" xr:uid="{00000000-0005-0000-0000-000025500000}"/>
    <cellStyle name="Normal 18 2 2 3 5" xfId="2764" xr:uid="{00000000-0005-0000-0000-000026500000}"/>
    <cellStyle name="Normal 18 2 2 3 5 2" xfId="7158" xr:uid="{00000000-0005-0000-0000-000027500000}"/>
    <cellStyle name="Normal 18 2 2 3 5 2 2" xfId="15979" xr:uid="{00000000-0005-0000-0000-000028500000}"/>
    <cellStyle name="Normal 18 2 2 3 5 3" xfId="11572" xr:uid="{00000000-0005-0000-0000-000029500000}"/>
    <cellStyle name="Normal 18 2 2 3 6" xfId="4953" xr:uid="{00000000-0005-0000-0000-00002A500000}"/>
    <cellStyle name="Normal 18 2 2 3 6 2" xfId="13774" xr:uid="{00000000-0005-0000-0000-00002B500000}"/>
    <cellStyle name="Normal 18 2 2 3 7" xfId="9367" xr:uid="{00000000-0005-0000-0000-00002C500000}"/>
    <cellStyle name="Normal 18 2 2 4" xfId="1157" xr:uid="{00000000-0005-0000-0000-00002D500000}"/>
    <cellStyle name="Normal 18 2 2 4 10" xfId="22450" xr:uid="{00000000-0005-0000-0000-00002E500000}"/>
    <cellStyle name="Normal 18 2 2 4 11" xfId="26019" xr:uid="{00000000-0005-0000-0000-00002F500000}"/>
    <cellStyle name="Normal 18 2 2 4 12" xfId="25940" xr:uid="{00000000-0005-0000-0000-000030500000}"/>
    <cellStyle name="Normal 18 2 2 4 13" xfId="26096" xr:uid="{00000000-0005-0000-0000-000031500000}"/>
    <cellStyle name="Normal 18 2 2 4 2" xfId="2304" xr:uid="{00000000-0005-0000-0000-000032500000}"/>
    <cellStyle name="Normal 18 2 2 4 2 2" xfId="4395" xr:uid="{00000000-0005-0000-0000-000033500000}"/>
    <cellStyle name="Normal 18 2 2 4 2 2 2" xfId="8817" xr:uid="{00000000-0005-0000-0000-000034500000}"/>
    <cellStyle name="Normal 18 2 2 4 2 2 2 2" xfId="17638" xr:uid="{00000000-0005-0000-0000-000035500000}"/>
    <cellStyle name="Normal 18 2 2 4 2 2 3" xfId="13231" xr:uid="{00000000-0005-0000-0000-000036500000}"/>
    <cellStyle name="Normal 18 2 2 4 2 3" xfId="6612" xr:uid="{00000000-0005-0000-0000-000037500000}"/>
    <cellStyle name="Normal 18 2 2 4 2 3 2" xfId="15433" xr:uid="{00000000-0005-0000-0000-000038500000}"/>
    <cellStyle name="Normal 18 2 2 4 2 4" xfId="11026" xr:uid="{00000000-0005-0000-0000-000039500000}"/>
    <cellStyle name="Normal 18 2 2 4 3" xfId="1729" xr:uid="{00000000-0005-0000-0000-00003A500000}"/>
    <cellStyle name="Normal 18 2 2 4 3 2" xfId="3685" xr:uid="{00000000-0005-0000-0000-00003B500000}"/>
    <cellStyle name="Normal 18 2 2 4 3 2 2" xfId="8079" xr:uid="{00000000-0005-0000-0000-00003C500000}"/>
    <cellStyle name="Normal 18 2 2 4 3 2 2 2" xfId="16900" xr:uid="{00000000-0005-0000-0000-00003D500000}"/>
    <cellStyle name="Normal 18 2 2 4 3 2 3" xfId="12493" xr:uid="{00000000-0005-0000-0000-00003E500000}"/>
    <cellStyle name="Normal 18 2 2 4 3 3" xfId="5874" xr:uid="{00000000-0005-0000-0000-00003F500000}"/>
    <cellStyle name="Normal 18 2 2 4 3 3 2" xfId="14695" xr:uid="{00000000-0005-0000-0000-000040500000}"/>
    <cellStyle name="Normal 18 2 2 4 3 4" xfId="10288" xr:uid="{00000000-0005-0000-0000-000041500000}"/>
    <cellStyle name="Normal 18 2 2 4 4" xfId="2948" xr:uid="{00000000-0005-0000-0000-000042500000}"/>
    <cellStyle name="Normal 18 2 2 4 4 2" xfId="7342" xr:uid="{00000000-0005-0000-0000-000043500000}"/>
    <cellStyle name="Normal 18 2 2 4 4 2 2" xfId="16163" xr:uid="{00000000-0005-0000-0000-000044500000}"/>
    <cellStyle name="Normal 18 2 2 4 4 3" xfId="11756" xr:uid="{00000000-0005-0000-0000-000045500000}"/>
    <cellStyle name="Normal 18 2 2 4 5" xfId="5137" xr:uid="{00000000-0005-0000-0000-000046500000}"/>
    <cellStyle name="Normal 18 2 2 4 5 2" xfId="13958" xr:uid="{00000000-0005-0000-0000-000047500000}"/>
    <cellStyle name="Normal 18 2 2 4 6" xfId="9551" xr:uid="{00000000-0005-0000-0000-000048500000}"/>
    <cellStyle name="Normal 18 2 2 4 7" xfId="23204" xr:uid="{00000000-0005-0000-0000-000049500000}"/>
    <cellStyle name="Normal 18 2 2 4 8" xfId="23923" xr:uid="{00000000-0005-0000-0000-00004A500000}"/>
    <cellStyle name="Normal 18 2 2 4 9" xfId="24779" xr:uid="{00000000-0005-0000-0000-00004B500000}"/>
    <cellStyle name="Normal 18 2 2 5" xfId="2055" xr:uid="{00000000-0005-0000-0000-00004C500000}"/>
    <cellStyle name="Normal 18 2 2 5 2" xfId="4040" xr:uid="{00000000-0005-0000-0000-00004D500000}"/>
    <cellStyle name="Normal 18 2 2 5 2 2" xfId="8448" xr:uid="{00000000-0005-0000-0000-00004E500000}"/>
    <cellStyle name="Normal 18 2 2 5 2 2 2" xfId="17269" xr:uid="{00000000-0005-0000-0000-00004F500000}"/>
    <cellStyle name="Normal 18 2 2 5 2 3" xfId="12862" xr:uid="{00000000-0005-0000-0000-000050500000}"/>
    <cellStyle name="Normal 18 2 2 5 3" xfId="6243" xr:uid="{00000000-0005-0000-0000-000051500000}"/>
    <cellStyle name="Normal 18 2 2 5 3 2" xfId="15064" xr:uid="{00000000-0005-0000-0000-000052500000}"/>
    <cellStyle name="Normal 18 2 2 5 4" xfId="10657" xr:uid="{00000000-0005-0000-0000-000053500000}"/>
    <cellStyle name="Normal 18 2 2 6" xfId="1401" xr:uid="{00000000-0005-0000-0000-000054500000}"/>
    <cellStyle name="Normal 18 2 2 6 2" xfId="3316" xr:uid="{00000000-0005-0000-0000-000055500000}"/>
    <cellStyle name="Normal 18 2 2 6 2 2" xfId="7710" xr:uid="{00000000-0005-0000-0000-000056500000}"/>
    <cellStyle name="Normal 18 2 2 6 2 2 2" xfId="16531" xr:uid="{00000000-0005-0000-0000-000057500000}"/>
    <cellStyle name="Normal 18 2 2 6 2 3" xfId="12124" xr:uid="{00000000-0005-0000-0000-000058500000}"/>
    <cellStyle name="Normal 18 2 2 6 3" xfId="5505" xr:uid="{00000000-0005-0000-0000-000059500000}"/>
    <cellStyle name="Normal 18 2 2 6 3 2" xfId="14326" xr:uid="{00000000-0005-0000-0000-00005A500000}"/>
    <cellStyle name="Normal 18 2 2 6 4" xfId="9919" xr:uid="{00000000-0005-0000-0000-00005B500000}"/>
    <cellStyle name="Normal 18 2 2 7" xfId="2580" xr:uid="{00000000-0005-0000-0000-00005C500000}"/>
    <cellStyle name="Normal 18 2 2 7 2" xfId="6973" xr:uid="{00000000-0005-0000-0000-00005D500000}"/>
    <cellStyle name="Normal 18 2 2 7 2 2" xfId="15794" xr:uid="{00000000-0005-0000-0000-00005E500000}"/>
    <cellStyle name="Normal 18 2 2 7 3" xfId="11387" xr:uid="{00000000-0005-0000-0000-00005F500000}"/>
    <cellStyle name="Normal 18 2 2 8" xfId="4768" xr:uid="{00000000-0005-0000-0000-000060500000}"/>
    <cellStyle name="Normal 18 2 2 8 2" xfId="13589" xr:uid="{00000000-0005-0000-0000-000061500000}"/>
    <cellStyle name="Normal 18 2 2 9" xfId="9182" xr:uid="{00000000-0005-0000-0000-000062500000}"/>
    <cellStyle name="Normal 18 2 3" xfId="1226" xr:uid="{00000000-0005-0000-0000-000063500000}"/>
    <cellStyle name="Normal 18 2 3 2" xfId="1212" xr:uid="{00000000-0005-0000-0000-000064500000}"/>
    <cellStyle name="Normal 18 2 3 2 2" xfId="1286" xr:uid="{00000000-0005-0000-0000-000065500000}"/>
    <cellStyle name="Normal 18 2 3 2 2 2" xfId="2466" xr:uid="{00000000-0005-0000-0000-000066500000}"/>
    <cellStyle name="Normal 18 2 3 2 2 2 10" xfId="25600" xr:uid="{00000000-0005-0000-0000-000067500000}"/>
    <cellStyle name="Normal 18 2 3 2 2 2 11" xfId="25186" xr:uid="{00000000-0005-0000-0000-000068500000}"/>
    <cellStyle name="Normal 18 2 3 2 2 2 12" xfId="26508" xr:uid="{00000000-0005-0000-0000-000069500000}"/>
    <cellStyle name="Normal 18 2 3 2 2 2 13" xfId="26846" xr:uid="{00000000-0005-0000-0000-00006A500000}"/>
    <cellStyle name="Normal 18 2 3 2 2 2 2" xfId="4624" xr:uid="{00000000-0005-0000-0000-00006B500000}"/>
    <cellStyle name="Normal 18 2 3 2 2 2 2 2" xfId="9047" xr:uid="{00000000-0005-0000-0000-00006C500000}"/>
    <cellStyle name="Normal 18 2 3 2 2 2 2 2 2" xfId="17868" xr:uid="{00000000-0005-0000-0000-00006D500000}"/>
    <cellStyle name="Normal 18 2 3 2 2 2 2 3" xfId="13461" xr:uid="{00000000-0005-0000-0000-00006E500000}"/>
    <cellStyle name="Normal 18 2 3 2 2 2 3" xfId="6842" xr:uid="{00000000-0005-0000-0000-00006F500000}"/>
    <cellStyle name="Normal 18 2 3 2 2 2 3 2" xfId="15663" xr:uid="{00000000-0005-0000-0000-000070500000}"/>
    <cellStyle name="Normal 18 2 3 2 2 2 4" xfId="11256" xr:uid="{00000000-0005-0000-0000-000071500000}"/>
    <cellStyle name="Normal 18 2 3 2 2 2 5" xfId="20835" xr:uid="{00000000-0005-0000-0000-000072500000}"/>
    <cellStyle name="Normal 18 2 3 2 2 2 6" xfId="18896" xr:uid="{00000000-0005-0000-0000-000073500000}"/>
    <cellStyle name="Normal 18 2 3 2 2 2 7" xfId="23017" xr:uid="{00000000-0005-0000-0000-000074500000}"/>
    <cellStyle name="Normal 18 2 3 2 2 2 8" xfId="21921" xr:uid="{00000000-0005-0000-0000-000075500000}"/>
    <cellStyle name="Normal 18 2 3 2 2 2 9" xfId="23996" xr:uid="{00000000-0005-0000-0000-000076500000}"/>
    <cellStyle name="Normal 18 2 3 2 2 3" xfId="1958" xr:uid="{00000000-0005-0000-0000-000077500000}"/>
    <cellStyle name="Normal 18 2 3 2 2 3 2" xfId="3915" xr:uid="{00000000-0005-0000-0000-000078500000}"/>
    <cellStyle name="Normal 18 2 3 2 2 3 2 2" xfId="8309" xr:uid="{00000000-0005-0000-0000-000079500000}"/>
    <cellStyle name="Normal 18 2 3 2 2 3 2 2 2" xfId="17130" xr:uid="{00000000-0005-0000-0000-00007A500000}"/>
    <cellStyle name="Normal 18 2 3 2 2 3 2 3" xfId="12723" xr:uid="{00000000-0005-0000-0000-00007B500000}"/>
    <cellStyle name="Normal 18 2 3 2 2 3 3" xfId="6104" xr:uid="{00000000-0005-0000-0000-00007C500000}"/>
    <cellStyle name="Normal 18 2 3 2 2 3 3 2" xfId="14925" xr:uid="{00000000-0005-0000-0000-00007D500000}"/>
    <cellStyle name="Normal 18 2 3 2 2 3 4" xfId="10518" xr:uid="{00000000-0005-0000-0000-00007E500000}"/>
    <cellStyle name="Normal 18 2 3 2 2 4" xfId="3178" xr:uid="{00000000-0005-0000-0000-00007F500000}"/>
    <cellStyle name="Normal 18 2 3 2 2 4 2" xfId="7572" xr:uid="{00000000-0005-0000-0000-000080500000}"/>
    <cellStyle name="Normal 18 2 3 2 2 4 2 2" xfId="16393" xr:uid="{00000000-0005-0000-0000-000081500000}"/>
    <cellStyle name="Normal 18 2 3 2 2 4 3" xfId="11986" xr:uid="{00000000-0005-0000-0000-000082500000}"/>
    <cellStyle name="Normal 18 2 3 2 2 5" xfId="5367" xr:uid="{00000000-0005-0000-0000-000083500000}"/>
    <cellStyle name="Normal 18 2 3 2 2 5 2" xfId="14188" xr:uid="{00000000-0005-0000-0000-000084500000}"/>
    <cellStyle name="Normal 18 2 3 2 2 6" xfId="9781" xr:uid="{00000000-0005-0000-0000-000085500000}"/>
    <cellStyle name="Normal 18 2 3 2 3" xfId="2205" xr:uid="{00000000-0005-0000-0000-000086500000}"/>
    <cellStyle name="Normal 18 2 3 2 3 10" xfId="24217" xr:uid="{00000000-0005-0000-0000-000087500000}"/>
    <cellStyle name="Normal 18 2 3 2 3 11" xfId="25509" xr:uid="{00000000-0005-0000-0000-000088500000}"/>
    <cellStyle name="Normal 18 2 3 2 3 12" xfId="26280" xr:uid="{00000000-0005-0000-0000-000089500000}"/>
    <cellStyle name="Normal 18 2 3 2 3 13" xfId="26940" xr:uid="{00000000-0005-0000-0000-00008A500000}"/>
    <cellStyle name="Normal 18 2 3 2 3 2" xfId="4269" xr:uid="{00000000-0005-0000-0000-00008B500000}"/>
    <cellStyle name="Normal 18 2 3 2 3 2 2" xfId="8678" xr:uid="{00000000-0005-0000-0000-00008C500000}"/>
    <cellStyle name="Normal 18 2 3 2 3 2 2 2" xfId="17499" xr:uid="{00000000-0005-0000-0000-00008D500000}"/>
    <cellStyle name="Normal 18 2 3 2 3 2 3" xfId="13092" xr:uid="{00000000-0005-0000-0000-00008E500000}"/>
    <cellStyle name="Normal 18 2 3 2 3 3" xfId="6473" xr:uid="{00000000-0005-0000-0000-00008F500000}"/>
    <cellStyle name="Normal 18 2 3 2 3 3 2" xfId="15294" xr:uid="{00000000-0005-0000-0000-000090500000}"/>
    <cellStyle name="Normal 18 2 3 2 3 4" xfId="10887" xr:uid="{00000000-0005-0000-0000-000091500000}"/>
    <cellStyle name="Normal 18 2 3 2 3 5" xfId="20860" xr:uid="{00000000-0005-0000-0000-000092500000}"/>
    <cellStyle name="Normal 18 2 3 2 3 6" xfId="19922" xr:uid="{00000000-0005-0000-0000-000093500000}"/>
    <cellStyle name="Normal 18 2 3 2 3 7" xfId="23388" xr:uid="{00000000-0005-0000-0000-000094500000}"/>
    <cellStyle name="Normal 18 2 3 2 3 8" xfId="23474" xr:uid="{00000000-0005-0000-0000-000095500000}"/>
    <cellStyle name="Normal 18 2 3 2 3 9" xfId="24437" xr:uid="{00000000-0005-0000-0000-000096500000}"/>
    <cellStyle name="Normal 18 2 3 2 4" xfId="1603" xr:uid="{00000000-0005-0000-0000-000097500000}"/>
    <cellStyle name="Normal 18 2 3 2 4 2" xfId="3546" xr:uid="{00000000-0005-0000-0000-000098500000}"/>
    <cellStyle name="Normal 18 2 3 2 4 2 2" xfId="7940" xr:uid="{00000000-0005-0000-0000-000099500000}"/>
    <cellStyle name="Normal 18 2 3 2 4 2 2 2" xfId="16761" xr:uid="{00000000-0005-0000-0000-00009A500000}"/>
    <cellStyle name="Normal 18 2 3 2 4 2 3" xfId="12354" xr:uid="{00000000-0005-0000-0000-00009B500000}"/>
    <cellStyle name="Normal 18 2 3 2 4 3" xfId="5735" xr:uid="{00000000-0005-0000-0000-00009C500000}"/>
    <cellStyle name="Normal 18 2 3 2 4 3 2" xfId="14556" xr:uid="{00000000-0005-0000-0000-00009D500000}"/>
    <cellStyle name="Normal 18 2 3 2 4 4" xfId="10149" xr:uid="{00000000-0005-0000-0000-00009E500000}"/>
    <cellStyle name="Normal 18 2 3 2 5" xfId="2809" xr:uid="{00000000-0005-0000-0000-00009F500000}"/>
    <cellStyle name="Normal 18 2 3 2 5 2" xfId="7203" xr:uid="{00000000-0005-0000-0000-0000A0500000}"/>
    <cellStyle name="Normal 18 2 3 2 5 2 2" xfId="16024" xr:uid="{00000000-0005-0000-0000-0000A1500000}"/>
    <cellStyle name="Normal 18 2 3 2 5 3" xfId="11617" xr:uid="{00000000-0005-0000-0000-0000A2500000}"/>
    <cellStyle name="Normal 18 2 3 2 6" xfId="4998" xr:uid="{00000000-0005-0000-0000-0000A3500000}"/>
    <cellStyle name="Normal 18 2 3 2 6 2" xfId="13819" xr:uid="{00000000-0005-0000-0000-0000A4500000}"/>
    <cellStyle name="Normal 18 2 3 2 7" xfId="9412" xr:uid="{00000000-0005-0000-0000-0000A5500000}"/>
    <cellStyle name="Normal 18 2 3 3" xfId="1322" xr:uid="{00000000-0005-0000-0000-0000A6500000}"/>
    <cellStyle name="Normal 18 2 3 3 2" xfId="2335" xr:uid="{00000000-0005-0000-0000-0000A7500000}"/>
    <cellStyle name="Normal 18 2 3 3 2 10" xfId="25276" xr:uid="{00000000-0005-0000-0000-0000A8500000}"/>
    <cellStyle name="Normal 18 2 3 3 2 11" xfId="25463" xr:uid="{00000000-0005-0000-0000-0000A9500000}"/>
    <cellStyle name="Normal 18 2 3 3 2 12" xfId="25939" xr:uid="{00000000-0005-0000-0000-0000AA500000}"/>
    <cellStyle name="Normal 18 2 3 3 2 13" xfId="26326" xr:uid="{00000000-0005-0000-0000-0000AB500000}"/>
    <cellStyle name="Normal 18 2 3 3 2 2" xfId="4440" xr:uid="{00000000-0005-0000-0000-0000AC500000}"/>
    <cellStyle name="Normal 18 2 3 3 2 2 2" xfId="8862" xr:uid="{00000000-0005-0000-0000-0000AD500000}"/>
    <cellStyle name="Normal 18 2 3 3 2 2 2 2" xfId="17683" xr:uid="{00000000-0005-0000-0000-0000AE500000}"/>
    <cellStyle name="Normal 18 2 3 3 2 2 3" xfId="13276" xr:uid="{00000000-0005-0000-0000-0000AF500000}"/>
    <cellStyle name="Normal 18 2 3 3 2 3" xfId="6657" xr:uid="{00000000-0005-0000-0000-0000B0500000}"/>
    <cellStyle name="Normal 18 2 3 3 2 3 2" xfId="15478" xr:uid="{00000000-0005-0000-0000-0000B1500000}"/>
    <cellStyle name="Normal 18 2 3 3 2 4" xfId="11071" xr:uid="{00000000-0005-0000-0000-0000B2500000}"/>
    <cellStyle name="Normal 18 2 3 3 2 5" xfId="21988" xr:uid="{00000000-0005-0000-0000-0000B3500000}"/>
    <cellStyle name="Normal 18 2 3 3 2 6" xfId="22677" xr:uid="{00000000-0005-0000-0000-0000B4500000}"/>
    <cellStyle name="Normal 18 2 3 3 2 7" xfId="22230" xr:uid="{00000000-0005-0000-0000-0000B5500000}"/>
    <cellStyle name="Normal 18 2 3 3 2 8" xfId="24097" xr:uid="{00000000-0005-0000-0000-0000B6500000}"/>
    <cellStyle name="Normal 18 2 3 3 2 9" xfId="24615" xr:uid="{00000000-0005-0000-0000-0000B7500000}"/>
    <cellStyle name="Normal 18 2 3 3 3" xfId="1774" xr:uid="{00000000-0005-0000-0000-0000B8500000}"/>
    <cellStyle name="Normal 18 2 3 3 3 2" xfId="3730" xr:uid="{00000000-0005-0000-0000-0000B9500000}"/>
    <cellStyle name="Normal 18 2 3 3 3 2 2" xfId="8124" xr:uid="{00000000-0005-0000-0000-0000BA500000}"/>
    <cellStyle name="Normal 18 2 3 3 3 2 2 2" xfId="16945" xr:uid="{00000000-0005-0000-0000-0000BB500000}"/>
    <cellStyle name="Normal 18 2 3 3 3 2 3" xfId="12538" xr:uid="{00000000-0005-0000-0000-0000BC500000}"/>
    <cellStyle name="Normal 18 2 3 3 3 3" xfId="5919" xr:uid="{00000000-0005-0000-0000-0000BD500000}"/>
    <cellStyle name="Normal 18 2 3 3 3 3 2" xfId="14740" xr:uid="{00000000-0005-0000-0000-0000BE500000}"/>
    <cellStyle name="Normal 18 2 3 3 3 4" xfId="10333" xr:uid="{00000000-0005-0000-0000-0000BF500000}"/>
    <cellStyle name="Normal 18 2 3 3 4" xfId="2993" xr:uid="{00000000-0005-0000-0000-0000C0500000}"/>
    <cellStyle name="Normal 18 2 3 3 4 2" xfId="7387" xr:uid="{00000000-0005-0000-0000-0000C1500000}"/>
    <cellStyle name="Normal 18 2 3 3 4 2 2" xfId="16208" xr:uid="{00000000-0005-0000-0000-0000C2500000}"/>
    <cellStyle name="Normal 18 2 3 3 4 3" xfId="11801" xr:uid="{00000000-0005-0000-0000-0000C3500000}"/>
    <cellStyle name="Normal 18 2 3 3 5" xfId="5182" xr:uid="{00000000-0005-0000-0000-0000C4500000}"/>
    <cellStyle name="Normal 18 2 3 3 5 2" xfId="14003" xr:uid="{00000000-0005-0000-0000-0000C5500000}"/>
    <cellStyle name="Normal 18 2 3 3 6" xfId="9596" xr:uid="{00000000-0005-0000-0000-0000C6500000}"/>
    <cellStyle name="Normal 18 2 3 4" xfId="2074" xr:uid="{00000000-0005-0000-0000-0000C7500000}"/>
    <cellStyle name="Normal 18 2 3 4 10" xfId="24518" xr:uid="{00000000-0005-0000-0000-0000C8500000}"/>
    <cellStyle name="Normal 18 2 3 4 11" xfId="26161" xr:uid="{00000000-0005-0000-0000-0000C9500000}"/>
    <cellStyle name="Normal 18 2 3 4 12" xfId="25527" xr:uid="{00000000-0005-0000-0000-0000CA500000}"/>
    <cellStyle name="Normal 18 2 3 4 13" xfId="26556" xr:uid="{00000000-0005-0000-0000-0000CB500000}"/>
    <cellStyle name="Normal 18 2 3 4 2" xfId="4085" xr:uid="{00000000-0005-0000-0000-0000CC500000}"/>
    <cellStyle name="Normal 18 2 3 4 2 2" xfId="8493" xr:uid="{00000000-0005-0000-0000-0000CD500000}"/>
    <cellStyle name="Normal 18 2 3 4 2 2 2" xfId="17314" xr:uid="{00000000-0005-0000-0000-0000CE500000}"/>
    <cellStyle name="Normal 18 2 3 4 2 3" xfId="12907" xr:uid="{00000000-0005-0000-0000-0000CF500000}"/>
    <cellStyle name="Normal 18 2 3 4 3" xfId="6288" xr:uid="{00000000-0005-0000-0000-0000D0500000}"/>
    <cellStyle name="Normal 18 2 3 4 3 2" xfId="15109" xr:uid="{00000000-0005-0000-0000-0000D1500000}"/>
    <cellStyle name="Normal 18 2 3 4 4" xfId="10702" xr:uid="{00000000-0005-0000-0000-0000D2500000}"/>
    <cellStyle name="Normal 18 2 3 4 5" xfId="18923" xr:uid="{00000000-0005-0000-0000-0000D3500000}"/>
    <cellStyle name="Normal 18 2 3 4 6" xfId="21129" xr:uid="{00000000-0005-0000-0000-0000D4500000}"/>
    <cellStyle name="Normal 18 2 3 4 7" xfId="19856" xr:uid="{00000000-0005-0000-0000-0000D5500000}"/>
    <cellStyle name="Normal 18 2 3 4 8" xfId="22913" xr:uid="{00000000-0005-0000-0000-0000D6500000}"/>
    <cellStyle name="Normal 18 2 3 4 9" xfId="24954" xr:uid="{00000000-0005-0000-0000-0000D7500000}"/>
    <cellStyle name="Normal 18 2 3 5" xfId="1432" xr:uid="{00000000-0005-0000-0000-0000D8500000}"/>
    <cellStyle name="Normal 18 2 3 5 2" xfId="3361" xr:uid="{00000000-0005-0000-0000-0000D9500000}"/>
    <cellStyle name="Normal 18 2 3 5 2 2" xfId="7755" xr:uid="{00000000-0005-0000-0000-0000DA500000}"/>
    <cellStyle name="Normal 18 2 3 5 2 2 2" xfId="16576" xr:uid="{00000000-0005-0000-0000-0000DB500000}"/>
    <cellStyle name="Normal 18 2 3 5 2 3" xfId="12169" xr:uid="{00000000-0005-0000-0000-0000DC500000}"/>
    <cellStyle name="Normal 18 2 3 5 3" xfId="5550" xr:uid="{00000000-0005-0000-0000-0000DD500000}"/>
    <cellStyle name="Normal 18 2 3 5 3 2" xfId="14371" xr:uid="{00000000-0005-0000-0000-0000DE500000}"/>
    <cellStyle name="Normal 18 2 3 5 4" xfId="9964" xr:uid="{00000000-0005-0000-0000-0000DF500000}"/>
    <cellStyle name="Normal 18 2 3 6" xfId="2625" xr:uid="{00000000-0005-0000-0000-0000E0500000}"/>
    <cellStyle name="Normal 18 2 3 6 2" xfId="7018" xr:uid="{00000000-0005-0000-0000-0000E1500000}"/>
    <cellStyle name="Normal 18 2 3 6 2 2" xfId="15839" xr:uid="{00000000-0005-0000-0000-0000E2500000}"/>
    <cellStyle name="Normal 18 2 3 6 3" xfId="11432" xr:uid="{00000000-0005-0000-0000-0000E3500000}"/>
    <cellStyle name="Normal 18 2 3 7" xfId="4813" xr:uid="{00000000-0005-0000-0000-0000E4500000}"/>
    <cellStyle name="Normal 18 2 3 7 2" xfId="13634" xr:uid="{00000000-0005-0000-0000-0000E5500000}"/>
    <cellStyle name="Normal 18 2 3 8" xfId="9227" xr:uid="{00000000-0005-0000-0000-0000E6500000}"/>
    <cellStyle name="Normal 18 2 4" xfId="1292" xr:uid="{00000000-0005-0000-0000-0000E7500000}"/>
    <cellStyle name="Normal 18 2 4 2" xfId="1095" xr:uid="{00000000-0005-0000-0000-0000E8500000}"/>
    <cellStyle name="Normal 18 2 4 2 2" xfId="2400" xr:uid="{00000000-0005-0000-0000-0000E9500000}"/>
    <cellStyle name="Normal 18 2 4 2 2 2" xfId="4532" xr:uid="{00000000-0005-0000-0000-0000EA500000}"/>
    <cellStyle name="Normal 18 2 4 2 2 2 10" xfId="25432" xr:uid="{00000000-0005-0000-0000-0000EB500000}"/>
    <cellStyle name="Normal 18 2 4 2 2 2 11" xfId="26020" xr:uid="{00000000-0005-0000-0000-0000EC500000}"/>
    <cellStyle name="Normal 18 2 4 2 2 2 12" xfId="26626" xr:uid="{00000000-0005-0000-0000-0000ED500000}"/>
    <cellStyle name="Normal 18 2 4 2 2 2 13" xfId="24352" xr:uid="{00000000-0005-0000-0000-0000EE500000}"/>
    <cellStyle name="Normal 18 2 4 2 2 2 2" xfId="8954" xr:uid="{00000000-0005-0000-0000-0000EF500000}"/>
    <cellStyle name="Normal 18 2 4 2 2 2 2 2" xfId="17775" xr:uid="{00000000-0005-0000-0000-0000F0500000}"/>
    <cellStyle name="Normal 18 2 4 2 2 2 3" xfId="13368" xr:uid="{00000000-0005-0000-0000-0000F1500000}"/>
    <cellStyle name="Normal 18 2 4 2 2 2 4" xfId="21036" xr:uid="{00000000-0005-0000-0000-0000F2500000}"/>
    <cellStyle name="Normal 18 2 4 2 2 2 5" xfId="21645" xr:uid="{00000000-0005-0000-0000-0000F3500000}"/>
    <cellStyle name="Normal 18 2 4 2 2 2 6" xfId="22327" xr:uid="{00000000-0005-0000-0000-0000F4500000}"/>
    <cellStyle name="Normal 18 2 4 2 2 2 7" xfId="22583" xr:uid="{00000000-0005-0000-0000-0000F5500000}"/>
    <cellStyle name="Normal 18 2 4 2 2 2 8" xfId="23746" xr:uid="{00000000-0005-0000-0000-0000F6500000}"/>
    <cellStyle name="Normal 18 2 4 2 2 2 9" xfId="21288" xr:uid="{00000000-0005-0000-0000-0000F7500000}"/>
    <cellStyle name="Normal 18 2 4 2 2 3" xfId="6749" xr:uid="{00000000-0005-0000-0000-0000F8500000}"/>
    <cellStyle name="Normal 18 2 4 2 2 3 2" xfId="15570" xr:uid="{00000000-0005-0000-0000-0000F9500000}"/>
    <cellStyle name="Normal 18 2 4 2 2 4" xfId="11163" xr:uid="{00000000-0005-0000-0000-0000FA500000}"/>
    <cellStyle name="Normal 18 2 4 2 3" xfId="1866" xr:uid="{00000000-0005-0000-0000-0000FB500000}"/>
    <cellStyle name="Normal 18 2 4 2 3 10" xfId="25110" xr:uid="{00000000-0005-0000-0000-0000FC500000}"/>
    <cellStyle name="Normal 18 2 4 2 3 11" xfId="25739" xr:uid="{00000000-0005-0000-0000-0000FD500000}"/>
    <cellStyle name="Normal 18 2 4 2 3 12" xfId="25910" xr:uid="{00000000-0005-0000-0000-0000FE500000}"/>
    <cellStyle name="Normal 18 2 4 2 3 13" xfId="27034" xr:uid="{00000000-0005-0000-0000-0000FF500000}"/>
    <cellStyle name="Normal 18 2 4 2 3 2" xfId="3822" xr:uid="{00000000-0005-0000-0000-000000510000}"/>
    <cellStyle name="Normal 18 2 4 2 3 2 2" xfId="8216" xr:uid="{00000000-0005-0000-0000-000001510000}"/>
    <cellStyle name="Normal 18 2 4 2 3 2 2 2" xfId="17037" xr:uid="{00000000-0005-0000-0000-000002510000}"/>
    <cellStyle name="Normal 18 2 4 2 3 2 3" xfId="12630" xr:uid="{00000000-0005-0000-0000-000003510000}"/>
    <cellStyle name="Normal 18 2 4 2 3 3" xfId="6011" xr:uid="{00000000-0005-0000-0000-000004510000}"/>
    <cellStyle name="Normal 18 2 4 2 3 3 2" xfId="14832" xr:uid="{00000000-0005-0000-0000-000005510000}"/>
    <cellStyle name="Normal 18 2 4 2 3 4" xfId="10425" xr:uid="{00000000-0005-0000-0000-000006510000}"/>
    <cellStyle name="Normal 18 2 4 2 3 5" xfId="20962" xr:uid="{00000000-0005-0000-0000-000007510000}"/>
    <cellStyle name="Normal 18 2 4 2 3 6" xfId="21545" xr:uid="{00000000-0005-0000-0000-000008510000}"/>
    <cellStyle name="Normal 18 2 4 2 3 7" xfId="23387" xr:uid="{00000000-0005-0000-0000-000009510000}"/>
    <cellStyle name="Normal 18 2 4 2 3 8" xfId="22420" xr:uid="{00000000-0005-0000-0000-00000A510000}"/>
    <cellStyle name="Normal 18 2 4 2 3 9" xfId="24004" xr:uid="{00000000-0005-0000-0000-00000B510000}"/>
    <cellStyle name="Normal 18 2 4 2 4" xfId="3085" xr:uid="{00000000-0005-0000-0000-00000C510000}"/>
    <cellStyle name="Normal 18 2 4 2 4 2" xfId="7479" xr:uid="{00000000-0005-0000-0000-00000D510000}"/>
    <cellStyle name="Normal 18 2 4 2 4 2 2" xfId="16300" xr:uid="{00000000-0005-0000-0000-00000E510000}"/>
    <cellStyle name="Normal 18 2 4 2 4 3" xfId="11893" xr:uid="{00000000-0005-0000-0000-00000F510000}"/>
    <cellStyle name="Normal 18 2 4 2 5" xfId="5274" xr:uid="{00000000-0005-0000-0000-000010510000}"/>
    <cellStyle name="Normal 18 2 4 2 5 2" xfId="14095" xr:uid="{00000000-0005-0000-0000-000011510000}"/>
    <cellStyle name="Normal 18 2 4 2 6" xfId="9688" xr:uid="{00000000-0005-0000-0000-000012510000}"/>
    <cellStyle name="Normal 18 2 4 3" xfId="2139" xr:uid="{00000000-0005-0000-0000-000013510000}"/>
    <cellStyle name="Normal 18 2 4 3 2" xfId="4177" xr:uid="{00000000-0005-0000-0000-000014510000}"/>
    <cellStyle name="Normal 18 2 4 3 2 10" xfId="24340" xr:uid="{00000000-0005-0000-0000-000015510000}"/>
    <cellStyle name="Normal 18 2 4 3 2 11" xfId="24359" xr:uid="{00000000-0005-0000-0000-000016510000}"/>
    <cellStyle name="Normal 18 2 4 3 2 12" xfId="26281" xr:uid="{00000000-0005-0000-0000-000017510000}"/>
    <cellStyle name="Normal 18 2 4 3 2 13" xfId="26211" xr:uid="{00000000-0005-0000-0000-000018510000}"/>
    <cellStyle name="Normal 18 2 4 3 2 2" xfId="8585" xr:uid="{00000000-0005-0000-0000-000019510000}"/>
    <cellStyle name="Normal 18 2 4 3 2 2 2" xfId="17406" xr:uid="{00000000-0005-0000-0000-00001A510000}"/>
    <cellStyle name="Normal 18 2 4 3 2 3" xfId="12999" xr:uid="{00000000-0005-0000-0000-00001B510000}"/>
    <cellStyle name="Normal 18 2 4 3 2 4" xfId="21328" xr:uid="{00000000-0005-0000-0000-00001C510000}"/>
    <cellStyle name="Normal 18 2 4 3 2 5" xfId="21987" xr:uid="{00000000-0005-0000-0000-00001D510000}"/>
    <cellStyle name="Normal 18 2 4 3 2 6" xfId="22676" xr:uid="{00000000-0005-0000-0000-00001E510000}"/>
    <cellStyle name="Normal 18 2 4 3 2 7" xfId="21567" xr:uid="{00000000-0005-0000-0000-00001F510000}"/>
    <cellStyle name="Normal 18 2 4 3 2 8" xfId="24096" xr:uid="{00000000-0005-0000-0000-000020510000}"/>
    <cellStyle name="Normal 18 2 4 3 2 9" xfId="24157" xr:uid="{00000000-0005-0000-0000-000021510000}"/>
    <cellStyle name="Normal 18 2 4 3 3" xfId="6380" xr:uid="{00000000-0005-0000-0000-000022510000}"/>
    <cellStyle name="Normal 18 2 4 3 3 2" xfId="15201" xr:uid="{00000000-0005-0000-0000-000023510000}"/>
    <cellStyle name="Normal 18 2 4 3 4" xfId="10794" xr:uid="{00000000-0005-0000-0000-000024510000}"/>
    <cellStyle name="Normal 18 2 4 4" xfId="1511" xr:uid="{00000000-0005-0000-0000-000025510000}"/>
    <cellStyle name="Normal 18 2 4 4 10" xfId="24014" xr:uid="{00000000-0005-0000-0000-000026510000}"/>
    <cellStyle name="Normal 18 2 4 4 11" xfId="23091" xr:uid="{00000000-0005-0000-0000-000027510000}"/>
    <cellStyle name="Normal 18 2 4 4 12" xfId="25659" xr:uid="{00000000-0005-0000-0000-000028510000}"/>
    <cellStyle name="Normal 18 2 4 4 13" xfId="26843" xr:uid="{00000000-0005-0000-0000-000029510000}"/>
    <cellStyle name="Normal 18 2 4 4 2" xfId="3453" xr:uid="{00000000-0005-0000-0000-00002A510000}"/>
    <cellStyle name="Normal 18 2 4 4 2 2" xfId="7847" xr:uid="{00000000-0005-0000-0000-00002B510000}"/>
    <cellStyle name="Normal 18 2 4 4 2 2 2" xfId="16668" xr:uid="{00000000-0005-0000-0000-00002C510000}"/>
    <cellStyle name="Normal 18 2 4 4 2 3" xfId="12261" xr:uid="{00000000-0005-0000-0000-00002D510000}"/>
    <cellStyle name="Normal 18 2 4 4 3" xfId="5642" xr:uid="{00000000-0005-0000-0000-00002E510000}"/>
    <cellStyle name="Normal 18 2 4 4 3 2" xfId="14463" xr:uid="{00000000-0005-0000-0000-00002F510000}"/>
    <cellStyle name="Normal 18 2 4 4 4" xfId="10056" xr:uid="{00000000-0005-0000-0000-000030510000}"/>
    <cellStyle name="Normal 18 2 4 4 5" xfId="21644" xr:uid="{00000000-0005-0000-0000-000031510000}"/>
    <cellStyle name="Normal 18 2 4 4 6" xfId="22326" xr:uid="{00000000-0005-0000-0000-000032510000}"/>
    <cellStyle name="Normal 18 2 4 4 7" xfId="23018" xr:uid="{00000000-0005-0000-0000-000033510000}"/>
    <cellStyle name="Normal 18 2 4 4 8" xfId="23745" xr:uid="{00000000-0005-0000-0000-000034510000}"/>
    <cellStyle name="Normal 18 2 4 4 9" xfId="24955" xr:uid="{00000000-0005-0000-0000-000035510000}"/>
    <cellStyle name="Normal 18 2 4 5" xfId="2717" xr:uid="{00000000-0005-0000-0000-000036510000}"/>
    <cellStyle name="Normal 18 2 4 5 2" xfId="7110" xr:uid="{00000000-0005-0000-0000-000037510000}"/>
    <cellStyle name="Normal 18 2 4 5 2 2" xfId="15931" xr:uid="{00000000-0005-0000-0000-000038510000}"/>
    <cellStyle name="Normal 18 2 4 5 3" xfId="11524" xr:uid="{00000000-0005-0000-0000-000039510000}"/>
    <cellStyle name="Normal 18 2 4 6" xfId="4905" xr:uid="{00000000-0005-0000-0000-00003A510000}"/>
    <cellStyle name="Normal 18 2 4 6 2" xfId="13726" xr:uid="{00000000-0005-0000-0000-00003B510000}"/>
    <cellStyle name="Normal 18 2 4 7" xfId="9319" xr:uid="{00000000-0005-0000-0000-00003C510000}"/>
    <cellStyle name="Normal 18 2 5" xfId="1168" xr:uid="{00000000-0005-0000-0000-00003D510000}"/>
    <cellStyle name="Normal 18 2 5 2" xfId="2269" xr:uid="{00000000-0005-0000-0000-00003E510000}"/>
    <cellStyle name="Normal 18 2 5 2 2" xfId="4348" xr:uid="{00000000-0005-0000-0000-00003F510000}"/>
    <cellStyle name="Normal 18 2 5 2 2 10" xfId="23678" xr:uid="{00000000-0005-0000-0000-000040510000}"/>
    <cellStyle name="Normal 18 2 5 2 2 11" xfId="25736" xr:uid="{00000000-0005-0000-0000-000041510000}"/>
    <cellStyle name="Normal 18 2 5 2 2 12" xfId="26398" xr:uid="{00000000-0005-0000-0000-000042510000}"/>
    <cellStyle name="Normal 18 2 5 2 2 13" xfId="26942" xr:uid="{00000000-0005-0000-0000-000043510000}"/>
    <cellStyle name="Normal 18 2 5 2 2 2" xfId="8769" xr:uid="{00000000-0005-0000-0000-000044510000}"/>
    <cellStyle name="Normal 18 2 5 2 2 2 2" xfId="17590" xr:uid="{00000000-0005-0000-0000-000045510000}"/>
    <cellStyle name="Normal 18 2 5 2 2 3" xfId="13183" xr:uid="{00000000-0005-0000-0000-000046510000}"/>
    <cellStyle name="Normal 18 2 5 2 2 4" xfId="20840" xr:uid="{00000000-0005-0000-0000-000047510000}"/>
    <cellStyle name="Normal 18 2 5 2 2 5" xfId="20474" xr:uid="{00000000-0005-0000-0000-000048510000}"/>
    <cellStyle name="Normal 18 2 5 2 2 6" xfId="20984" xr:uid="{00000000-0005-0000-0000-000049510000}"/>
    <cellStyle name="Normal 18 2 5 2 2 7" xfId="23576" xr:uid="{00000000-0005-0000-0000-00004A510000}"/>
    <cellStyle name="Normal 18 2 5 2 2 8" xfId="22912" xr:uid="{00000000-0005-0000-0000-00004B510000}"/>
    <cellStyle name="Normal 18 2 5 2 2 9" xfId="24614" xr:uid="{00000000-0005-0000-0000-00004C510000}"/>
    <cellStyle name="Normal 18 2 5 2 3" xfId="6564" xr:uid="{00000000-0005-0000-0000-00004D510000}"/>
    <cellStyle name="Normal 18 2 5 2 3 2" xfId="15385" xr:uid="{00000000-0005-0000-0000-00004E510000}"/>
    <cellStyle name="Normal 18 2 5 2 4" xfId="10978" xr:uid="{00000000-0005-0000-0000-00004F510000}"/>
    <cellStyle name="Normal 18 2 5 3" xfId="1682" xr:uid="{00000000-0005-0000-0000-000050510000}"/>
    <cellStyle name="Normal 18 2 5 3 10" xfId="24860" xr:uid="{00000000-0005-0000-0000-000051510000}"/>
    <cellStyle name="Normal 18 2 5 3 11" xfId="26166" xr:uid="{00000000-0005-0000-0000-000052510000}"/>
    <cellStyle name="Normal 18 2 5 3 12" xfId="24885" xr:uid="{00000000-0005-0000-0000-000053510000}"/>
    <cellStyle name="Normal 18 2 5 3 13" xfId="25036" xr:uid="{00000000-0005-0000-0000-000054510000}"/>
    <cellStyle name="Normal 18 2 5 3 2" xfId="3637" xr:uid="{00000000-0005-0000-0000-000055510000}"/>
    <cellStyle name="Normal 18 2 5 3 2 2" xfId="8031" xr:uid="{00000000-0005-0000-0000-000056510000}"/>
    <cellStyle name="Normal 18 2 5 3 2 2 2" xfId="16852" xr:uid="{00000000-0005-0000-0000-000057510000}"/>
    <cellStyle name="Normal 18 2 5 3 2 3" xfId="12445" xr:uid="{00000000-0005-0000-0000-000058510000}"/>
    <cellStyle name="Normal 18 2 5 3 3" xfId="5826" xr:uid="{00000000-0005-0000-0000-000059510000}"/>
    <cellStyle name="Normal 18 2 5 3 3 2" xfId="14647" xr:uid="{00000000-0005-0000-0000-00005A510000}"/>
    <cellStyle name="Normal 18 2 5 3 4" xfId="10240" xr:uid="{00000000-0005-0000-0000-00005B510000}"/>
    <cellStyle name="Normal 18 2 5 3 5" xfId="21263" xr:uid="{00000000-0005-0000-0000-00005C510000}"/>
    <cellStyle name="Normal 18 2 5 3 6" xfId="21899" xr:uid="{00000000-0005-0000-0000-00005D510000}"/>
    <cellStyle name="Normal 18 2 5 3 7" xfId="22706" xr:uid="{00000000-0005-0000-0000-00005E510000}"/>
    <cellStyle name="Normal 18 2 5 3 8" xfId="21272" xr:uid="{00000000-0005-0000-0000-00005F510000}"/>
    <cellStyle name="Normal 18 2 5 3 9" xfId="24956" xr:uid="{00000000-0005-0000-0000-000060510000}"/>
    <cellStyle name="Normal 18 2 5 4" xfId="2900" xr:uid="{00000000-0005-0000-0000-000061510000}"/>
    <cellStyle name="Normal 18 2 5 4 2" xfId="7294" xr:uid="{00000000-0005-0000-0000-000062510000}"/>
    <cellStyle name="Normal 18 2 5 4 2 2" xfId="16115" xr:uid="{00000000-0005-0000-0000-000063510000}"/>
    <cellStyle name="Normal 18 2 5 4 3" xfId="11708" xr:uid="{00000000-0005-0000-0000-000064510000}"/>
    <cellStyle name="Normal 18 2 5 5" xfId="5089" xr:uid="{00000000-0005-0000-0000-000065510000}"/>
    <cellStyle name="Normal 18 2 5 5 2" xfId="13910" xr:uid="{00000000-0005-0000-0000-000066510000}"/>
    <cellStyle name="Normal 18 2 5 6" xfId="9503" xr:uid="{00000000-0005-0000-0000-000067510000}"/>
    <cellStyle name="Normal 18 2 6" xfId="2034" xr:uid="{00000000-0005-0000-0000-000068510000}"/>
    <cellStyle name="Normal 18 2 6 2" xfId="3993" xr:uid="{00000000-0005-0000-0000-000069510000}"/>
    <cellStyle name="Normal 18 2 6 2 10" xfId="25433" xr:uid="{00000000-0005-0000-0000-00006A510000}"/>
    <cellStyle name="Normal 18 2 6 2 11" xfId="25014" xr:uid="{00000000-0005-0000-0000-00006B510000}"/>
    <cellStyle name="Normal 18 2 6 2 12" xfId="26627" xr:uid="{00000000-0005-0000-0000-00006C510000}"/>
    <cellStyle name="Normal 18 2 6 2 13" xfId="26749" xr:uid="{00000000-0005-0000-0000-00006D510000}"/>
    <cellStyle name="Normal 18 2 6 2 2" xfId="8400" xr:uid="{00000000-0005-0000-0000-00006E510000}"/>
    <cellStyle name="Normal 18 2 6 2 2 2" xfId="17221" xr:uid="{00000000-0005-0000-0000-00006F510000}"/>
    <cellStyle name="Normal 18 2 6 2 3" xfId="12814" xr:uid="{00000000-0005-0000-0000-000070510000}"/>
    <cellStyle name="Normal 18 2 6 2 4" xfId="19430" xr:uid="{00000000-0005-0000-0000-000071510000}"/>
    <cellStyle name="Normal 18 2 6 2 5" xfId="21355" xr:uid="{00000000-0005-0000-0000-000072510000}"/>
    <cellStyle name="Normal 18 2 6 2 6" xfId="22017" xr:uid="{00000000-0005-0000-0000-000073510000}"/>
    <cellStyle name="Normal 18 2 6 2 7" xfId="23019" xr:uid="{00000000-0005-0000-0000-000074510000}"/>
    <cellStyle name="Normal 18 2 6 2 8" xfId="22578" xr:uid="{00000000-0005-0000-0000-000075510000}"/>
    <cellStyle name="Normal 18 2 6 2 9" xfId="21104" xr:uid="{00000000-0005-0000-0000-000076510000}"/>
    <cellStyle name="Normal 18 2 6 3" xfId="6195" xr:uid="{00000000-0005-0000-0000-000077510000}"/>
    <cellStyle name="Normal 18 2 6 3 2" xfId="15016" xr:uid="{00000000-0005-0000-0000-000078510000}"/>
    <cellStyle name="Normal 18 2 6 4" xfId="10609" xr:uid="{00000000-0005-0000-0000-000079510000}"/>
    <cellStyle name="Normal 18 2 7" xfId="1366" xr:uid="{00000000-0005-0000-0000-00007A510000}"/>
    <cellStyle name="Normal 18 2 7 10" xfId="25109" xr:uid="{00000000-0005-0000-0000-00007B510000}"/>
    <cellStyle name="Normal 18 2 7 11" xfId="25144" xr:uid="{00000000-0005-0000-0000-00007C510000}"/>
    <cellStyle name="Normal 18 2 7 12" xfId="25656" xr:uid="{00000000-0005-0000-0000-00007D510000}"/>
    <cellStyle name="Normal 18 2 7 13" xfId="25206" xr:uid="{00000000-0005-0000-0000-00007E510000}"/>
    <cellStyle name="Normal 18 2 7 2" xfId="3268" xr:uid="{00000000-0005-0000-0000-00007F510000}"/>
    <cellStyle name="Normal 18 2 7 2 2" xfId="7662" xr:uid="{00000000-0005-0000-0000-000080510000}"/>
    <cellStyle name="Normal 18 2 7 2 2 2" xfId="16483" xr:uid="{00000000-0005-0000-0000-000081510000}"/>
    <cellStyle name="Normal 18 2 7 2 3" xfId="12076" xr:uid="{00000000-0005-0000-0000-000082510000}"/>
    <cellStyle name="Normal 18 2 7 3" xfId="5457" xr:uid="{00000000-0005-0000-0000-000083510000}"/>
    <cellStyle name="Normal 18 2 7 3 2" xfId="14278" xr:uid="{00000000-0005-0000-0000-000084510000}"/>
    <cellStyle name="Normal 18 2 7 4" xfId="9871" xr:uid="{00000000-0005-0000-0000-000085510000}"/>
    <cellStyle name="Normal 18 2 7 5" xfId="21986" xr:uid="{00000000-0005-0000-0000-000086510000}"/>
    <cellStyle name="Normal 18 2 7 6" xfId="22675" xr:uid="{00000000-0005-0000-0000-000087510000}"/>
    <cellStyle name="Normal 18 2 7 7" xfId="22760" xr:uid="{00000000-0005-0000-0000-000088510000}"/>
    <cellStyle name="Normal 18 2 7 8" xfId="24095" xr:uid="{00000000-0005-0000-0000-000089510000}"/>
    <cellStyle name="Normal 18 2 7 9" xfId="24436" xr:uid="{00000000-0005-0000-0000-00008A510000}"/>
    <cellStyle name="Normal 18 2 8" xfId="2544" xr:uid="{00000000-0005-0000-0000-00008B510000}"/>
    <cellStyle name="Normal 18 2 8 2" xfId="6935" xr:uid="{00000000-0005-0000-0000-00008C510000}"/>
    <cellStyle name="Normal 18 2 8 2 2" xfId="15756" xr:uid="{00000000-0005-0000-0000-00008D510000}"/>
    <cellStyle name="Normal 18 2 8 3" xfId="11349" xr:uid="{00000000-0005-0000-0000-00008E510000}"/>
    <cellStyle name="Normal 18 2 9" xfId="4733" xr:uid="{00000000-0005-0000-0000-00008F510000}"/>
    <cellStyle name="Normal 18 2 9 2" xfId="13554" xr:uid="{00000000-0005-0000-0000-000090510000}"/>
    <cellStyle name="Normal 18 2_Fordelinger" xfId="18238" xr:uid="{00000000-0005-0000-0000-000091510000}"/>
    <cellStyle name="Normal 18 3" xfId="1083" xr:uid="{00000000-0005-0000-0000-000092510000}"/>
    <cellStyle name="Normal 18 3 10" xfId="9153" xr:uid="{00000000-0005-0000-0000-000093510000}"/>
    <cellStyle name="Normal 18 3 2" xfId="1094" xr:uid="{00000000-0005-0000-0000-000094510000}"/>
    <cellStyle name="Normal 18 3 2 2" xfId="1153" xr:uid="{00000000-0005-0000-0000-000095510000}"/>
    <cellStyle name="Normal 18 3 2 2 2" xfId="1270" xr:uid="{00000000-0005-0000-0000-000096510000}"/>
    <cellStyle name="Normal 18 3 2 2 2 10" xfId="25275" xr:uid="{00000000-0005-0000-0000-000097510000}"/>
    <cellStyle name="Normal 18 3 2 2 2 11" xfId="25886" xr:uid="{00000000-0005-0000-0000-000098510000}"/>
    <cellStyle name="Normal 18 3 2 2 2 12" xfId="23084" xr:uid="{00000000-0005-0000-0000-000099510000}"/>
    <cellStyle name="Normal 18 3 2 2 2 13" xfId="26941" xr:uid="{00000000-0005-0000-0000-00009A510000}"/>
    <cellStyle name="Normal 18 3 2 2 2 2" xfId="1344" xr:uid="{00000000-0005-0000-0000-00009B510000}"/>
    <cellStyle name="Normal 18 3 2 2 2 2 2" xfId="2518" xr:uid="{00000000-0005-0000-0000-00009C510000}"/>
    <cellStyle name="Normal 18 3 2 2 2 2 2 2" xfId="4689" xr:uid="{00000000-0005-0000-0000-00009D510000}"/>
    <cellStyle name="Normal 18 3 2 2 2 2 2 2 2" xfId="9112" xr:uid="{00000000-0005-0000-0000-00009E510000}"/>
    <cellStyle name="Normal 18 3 2 2 2 2 2 2 2 2" xfId="17933" xr:uid="{00000000-0005-0000-0000-00009F510000}"/>
    <cellStyle name="Normal 18 3 2 2 2 2 2 2 3" xfId="13526" xr:uid="{00000000-0005-0000-0000-0000A0510000}"/>
    <cellStyle name="Normal 18 3 2 2 2 2 2 3" xfId="6907" xr:uid="{00000000-0005-0000-0000-0000A1510000}"/>
    <cellStyle name="Normal 18 3 2 2 2 2 2 3 2" xfId="15728" xr:uid="{00000000-0005-0000-0000-0000A2510000}"/>
    <cellStyle name="Normal 18 3 2 2 2 2 2 4" xfId="11321" xr:uid="{00000000-0005-0000-0000-0000A3510000}"/>
    <cellStyle name="Normal 18 3 2 2 2 2 3" xfId="2023" xr:uid="{00000000-0005-0000-0000-0000A4510000}"/>
    <cellStyle name="Normal 18 3 2 2 2 2 3 2" xfId="3980" xr:uid="{00000000-0005-0000-0000-0000A5510000}"/>
    <cellStyle name="Normal 18 3 2 2 2 2 3 2 2" xfId="8374" xr:uid="{00000000-0005-0000-0000-0000A6510000}"/>
    <cellStyle name="Normal 18 3 2 2 2 2 3 2 2 2" xfId="17195" xr:uid="{00000000-0005-0000-0000-0000A7510000}"/>
    <cellStyle name="Normal 18 3 2 2 2 2 3 2 3" xfId="12788" xr:uid="{00000000-0005-0000-0000-0000A8510000}"/>
    <cellStyle name="Normal 18 3 2 2 2 2 3 3" xfId="6169" xr:uid="{00000000-0005-0000-0000-0000A9510000}"/>
    <cellStyle name="Normal 18 3 2 2 2 2 3 3 2" xfId="14990" xr:uid="{00000000-0005-0000-0000-0000AA510000}"/>
    <cellStyle name="Normal 18 3 2 2 2 2 3 4" xfId="10583" xr:uid="{00000000-0005-0000-0000-0000AB510000}"/>
    <cellStyle name="Normal 18 3 2 2 2 2 4" xfId="3243" xr:uid="{00000000-0005-0000-0000-0000AC510000}"/>
    <cellStyle name="Normal 18 3 2 2 2 2 4 2" xfId="7637" xr:uid="{00000000-0005-0000-0000-0000AD510000}"/>
    <cellStyle name="Normal 18 3 2 2 2 2 4 2 2" xfId="16458" xr:uid="{00000000-0005-0000-0000-0000AE510000}"/>
    <cellStyle name="Normal 18 3 2 2 2 2 4 3" xfId="12051" xr:uid="{00000000-0005-0000-0000-0000AF510000}"/>
    <cellStyle name="Normal 18 3 2 2 2 2 5" xfId="5432" xr:uid="{00000000-0005-0000-0000-0000B0510000}"/>
    <cellStyle name="Normal 18 3 2 2 2 2 5 2" xfId="14253" xr:uid="{00000000-0005-0000-0000-0000B1510000}"/>
    <cellStyle name="Normal 18 3 2 2 2 2 6" xfId="9846" xr:uid="{00000000-0005-0000-0000-0000B2510000}"/>
    <cellStyle name="Normal 18 3 2 2 2 3" xfId="2257" xr:uid="{00000000-0005-0000-0000-0000B3510000}"/>
    <cellStyle name="Normal 18 3 2 2 2 3 2" xfId="4334" xr:uid="{00000000-0005-0000-0000-0000B4510000}"/>
    <cellStyle name="Normal 18 3 2 2 2 3 2 2" xfId="8743" xr:uid="{00000000-0005-0000-0000-0000B5510000}"/>
    <cellStyle name="Normal 18 3 2 2 2 3 2 2 2" xfId="17564" xr:uid="{00000000-0005-0000-0000-0000B6510000}"/>
    <cellStyle name="Normal 18 3 2 2 2 3 2 3" xfId="13157" xr:uid="{00000000-0005-0000-0000-0000B7510000}"/>
    <cellStyle name="Normal 18 3 2 2 2 3 3" xfId="6538" xr:uid="{00000000-0005-0000-0000-0000B8510000}"/>
    <cellStyle name="Normal 18 3 2 2 2 3 3 2" xfId="15359" xr:uid="{00000000-0005-0000-0000-0000B9510000}"/>
    <cellStyle name="Normal 18 3 2 2 2 3 4" xfId="10952" xr:uid="{00000000-0005-0000-0000-0000BA510000}"/>
    <cellStyle name="Normal 18 3 2 2 2 4" xfId="1668" xr:uid="{00000000-0005-0000-0000-0000BB510000}"/>
    <cellStyle name="Normal 18 3 2 2 2 4 2" xfId="3611" xr:uid="{00000000-0005-0000-0000-0000BC510000}"/>
    <cellStyle name="Normal 18 3 2 2 2 4 2 2" xfId="8005" xr:uid="{00000000-0005-0000-0000-0000BD510000}"/>
    <cellStyle name="Normal 18 3 2 2 2 4 2 2 2" xfId="16826" xr:uid="{00000000-0005-0000-0000-0000BE510000}"/>
    <cellStyle name="Normal 18 3 2 2 2 4 2 3" xfId="12419" xr:uid="{00000000-0005-0000-0000-0000BF510000}"/>
    <cellStyle name="Normal 18 3 2 2 2 4 3" xfId="5800" xr:uid="{00000000-0005-0000-0000-0000C0510000}"/>
    <cellStyle name="Normal 18 3 2 2 2 4 3 2" xfId="14621" xr:uid="{00000000-0005-0000-0000-0000C1510000}"/>
    <cellStyle name="Normal 18 3 2 2 2 4 4" xfId="10214" xr:uid="{00000000-0005-0000-0000-0000C2510000}"/>
    <cellStyle name="Normal 18 3 2 2 2 5" xfId="2874" xr:uid="{00000000-0005-0000-0000-0000C3510000}"/>
    <cellStyle name="Normal 18 3 2 2 2 5 2" xfId="7268" xr:uid="{00000000-0005-0000-0000-0000C4510000}"/>
    <cellStyle name="Normal 18 3 2 2 2 5 2 2" xfId="16089" xr:uid="{00000000-0005-0000-0000-0000C5510000}"/>
    <cellStyle name="Normal 18 3 2 2 2 5 3" xfId="11682" xr:uid="{00000000-0005-0000-0000-0000C6510000}"/>
    <cellStyle name="Normal 18 3 2 2 2 6" xfId="5063" xr:uid="{00000000-0005-0000-0000-0000C7510000}"/>
    <cellStyle name="Normal 18 3 2 2 2 6 2" xfId="13884" xr:uid="{00000000-0005-0000-0000-0000C8510000}"/>
    <cellStyle name="Normal 18 3 2 2 2 7" xfId="9477" xr:uid="{00000000-0005-0000-0000-0000C9510000}"/>
    <cellStyle name="Normal 18 3 2 2 2 8" xfId="23286" xr:uid="{00000000-0005-0000-0000-0000CA510000}"/>
    <cellStyle name="Normal 18 3 2 2 2 9" xfId="22770" xr:uid="{00000000-0005-0000-0000-0000CB510000}"/>
    <cellStyle name="Normal 18 3 2 2 3" xfId="1287" xr:uid="{00000000-0005-0000-0000-0000CC510000}"/>
    <cellStyle name="Normal 18 3 2 2 3 2" xfId="2387" xr:uid="{00000000-0005-0000-0000-0000CD510000}"/>
    <cellStyle name="Normal 18 3 2 2 3 2 2" xfId="4505" xr:uid="{00000000-0005-0000-0000-0000CE510000}"/>
    <cellStyle name="Normal 18 3 2 2 3 2 2 2" xfId="8927" xr:uid="{00000000-0005-0000-0000-0000CF510000}"/>
    <cellStyle name="Normal 18 3 2 2 3 2 2 2 2" xfId="17748" xr:uid="{00000000-0005-0000-0000-0000D0510000}"/>
    <cellStyle name="Normal 18 3 2 2 3 2 2 3" xfId="13341" xr:uid="{00000000-0005-0000-0000-0000D1510000}"/>
    <cellStyle name="Normal 18 3 2 2 3 2 3" xfId="6722" xr:uid="{00000000-0005-0000-0000-0000D2510000}"/>
    <cellStyle name="Normal 18 3 2 2 3 2 3 2" xfId="15543" xr:uid="{00000000-0005-0000-0000-0000D3510000}"/>
    <cellStyle name="Normal 18 3 2 2 3 2 4" xfId="11136" xr:uid="{00000000-0005-0000-0000-0000D4510000}"/>
    <cellStyle name="Normal 18 3 2 2 3 3" xfId="1839" xr:uid="{00000000-0005-0000-0000-0000D5510000}"/>
    <cellStyle name="Normal 18 3 2 2 3 3 2" xfId="3795" xr:uid="{00000000-0005-0000-0000-0000D6510000}"/>
    <cellStyle name="Normal 18 3 2 2 3 3 2 2" xfId="8189" xr:uid="{00000000-0005-0000-0000-0000D7510000}"/>
    <cellStyle name="Normal 18 3 2 2 3 3 2 2 2" xfId="17010" xr:uid="{00000000-0005-0000-0000-0000D8510000}"/>
    <cellStyle name="Normal 18 3 2 2 3 3 2 3" xfId="12603" xr:uid="{00000000-0005-0000-0000-0000D9510000}"/>
    <cellStyle name="Normal 18 3 2 2 3 3 3" xfId="5984" xr:uid="{00000000-0005-0000-0000-0000DA510000}"/>
    <cellStyle name="Normal 18 3 2 2 3 3 3 2" xfId="14805" xr:uid="{00000000-0005-0000-0000-0000DB510000}"/>
    <cellStyle name="Normal 18 3 2 2 3 3 4" xfId="10398" xr:uid="{00000000-0005-0000-0000-0000DC510000}"/>
    <cellStyle name="Normal 18 3 2 2 3 4" xfId="3058" xr:uid="{00000000-0005-0000-0000-0000DD510000}"/>
    <cellStyle name="Normal 18 3 2 2 3 4 2" xfId="7452" xr:uid="{00000000-0005-0000-0000-0000DE510000}"/>
    <cellStyle name="Normal 18 3 2 2 3 4 2 2" xfId="16273" xr:uid="{00000000-0005-0000-0000-0000DF510000}"/>
    <cellStyle name="Normal 18 3 2 2 3 4 3" xfId="11866" xr:uid="{00000000-0005-0000-0000-0000E0510000}"/>
    <cellStyle name="Normal 18 3 2 2 3 5" xfId="5247" xr:uid="{00000000-0005-0000-0000-0000E1510000}"/>
    <cellStyle name="Normal 18 3 2 2 3 5 2" xfId="14068" xr:uid="{00000000-0005-0000-0000-0000E2510000}"/>
    <cellStyle name="Normal 18 3 2 2 3 6" xfId="9661" xr:uid="{00000000-0005-0000-0000-0000E3510000}"/>
    <cellStyle name="Normal 18 3 2 2 4" xfId="2126" xr:uid="{00000000-0005-0000-0000-0000E4510000}"/>
    <cellStyle name="Normal 18 3 2 2 4 2" xfId="4150" xr:uid="{00000000-0005-0000-0000-0000E5510000}"/>
    <cellStyle name="Normal 18 3 2 2 4 2 2" xfId="8558" xr:uid="{00000000-0005-0000-0000-0000E6510000}"/>
    <cellStyle name="Normal 18 3 2 2 4 2 2 2" xfId="17379" xr:uid="{00000000-0005-0000-0000-0000E7510000}"/>
    <cellStyle name="Normal 18 3 2 2 4 2 3" xfId="12972" xr:uid="{00000000-0005-0000-0000-0000E8510000}"/>
    <cellStyle name="Normal 18 3 2 2 4 3" xfId="6353" xr:uid="{00000000-0005-0000-0000-0000E9510000}"/>
    <cellStyle name="Normal 18 3 2 2 4 3 2" xfId="15174" xr:uid="{00000000-0005-0000-0000-0000EA510000}"/>
    <cellStyle name="Normal 18 3 2 2 4 4" xfId="10767" xr:uid="{00000000-0005-0000-0000-0000EB510000}"/>
    <cellStyle name="Normal 18 3 2 2 5" xfId="1484" xr:uid="{00000000-0005-0000-0000-0000EC510000}"/>
    <cellStyle name="Normal 18 3 2 2 5 2" xfId="3426" xr:uid="{00000000-0005-0000-0000-0000ED510000}"/>
    <cellStyle name="Normal 18 3 2 2 5 2 2" xfId="7820" xr:uid="{00000000-0005-0000-0000-0000EE510000}"/>
    <cellStyle name="Normal 18 3 2 2 5 2 2 2" xfId="16641" xr:uid="{00000000-0005-0000-0000-0000EF510000}"/>
    <cellStyle name="Normal 18 3 2 2 5 2 3" xfId="12234" xr:uid="{00000000-0005-0000-0000-0000F0510000}"/>
    <cellStyle name="Normal 18 3 2 2 5 3" xfId="5615" xr:uid="{00000000-0005-0000-0000-0000F1510000}"/>
    <cellStyle name="Normal 18 3 2 2 5 3 2" xfId="14436" xr:uid="{00000000-0005-0000-0000-0000F2510000}"/>
    <cellStyle name="Normal 18 3 2 2 5 4" xfId="10029" xr:uid="{00000000-0005-0000-0000-0000F3510000}"/>
    <cellStyle name="Normal 18 3 2 2 6" xfId="2690" xr:uid="{00000000-0005-0000-0000-0000F4510000}"/>
    <cellStyle name="Normal 18 3 2 2 6 2" xfId="7083" xr:uid="{00000000-0005-0000-0000-0000F5510000}"/>
    <cellStyle name="Normal 18 3 2 2 6 2 2" xfId="15904" xr:uid="{00000000-0005-0000-0000-0000F6510000}"/>
    <cellStyle name="Normal 18 3 2 2 6 3" xfId="11497" xr:uid="{00000000-0005-0000-0000-0000F7510000}"/>
    <cellStyle name="Normal 18 3 2 2 7" xfId="4878" xr:uid="{00000000-0005-0000-0000-0000F8510000}"/>
    <cellStyle name="Normal 18 3 2 2 7 2" xfId="13699" xr:uid="{00000000-0005-0000-0000-0000F9510000}"/>
    <cellStyle name="Normal 18 3 2 2 8" xfId="9292" xr:uid="{00000000-0005-0000-0000-0000FA510000}"/>
    <cellStyle name="Normal 18 3 2 3" xfId="1218" xr:uid="{00000000-0005-0000-0000-0000FB510000}"/>
    <cellStyle name="Normal 18 3 2 3 10" xfId="23835" xr:uid="{00000000-0005-0000-0000-0000FC510000}"/>
    <cellStyle name="Normal 18 3 2 3 11" xfId="26021" xr:uid="{00000000-0005-0000-0000-0000FD510000}"/>
    <cellStyle name="Normal 18 3 2 3 12" xfId="25032" xr:uid="{00000000-0005-0000-0000-0000FE510000}"/>
    <cellStyle name="Normal 18 3 2 3 13" xfId="26750" xr:uid="{00000000-0005-0000-0000-0000FF510000}"/>
    <cellStyle name="Normal 18 3 2 3 2" xfId="1281" xr:uid="{00000000-0005-0000-0000-000000520000}"/>
    <cellStyle name="Normal 18 3 2 3 2 2" xfId="2453" xr:uid="{00000000-0005-0000-0000-000001520000}"/>
    <cellStyle name="Normal 18 3 2 3 2 2 2" xfId="4597" xr:uid="{00000000-0005-0000-0000-000002520000}"/>
    <cellStyle name="Normal 18 3 2 3 2 2 2 2" xfId="9020" xr:uid="{00000000-0005-0000-0000-000003520000}"/>
    <cellStyle name="Normal 18 3 2 3 2 2 2 2 2" xfId="17841" xr:uid="{00000000-0005-0000-0000-000004520000}"/>
    <cellStyle name="Normal 18 3 2 3 2 2 2 3" xfId="13434" xr:uid="{00000000-0005-0000-0000-000005520000}"/>
    <cellStyle name="Normal 18 3 2 3 2 2 3" xfId="6815" xr:uid="{00000000-0005-0000-0000-000006520000}"/>
    <cellStyle name="Normal 18 3 2 3 2 2 3 2" xfId="15636" xr:uid="{00000000-0005-0000-0000-000007520000}"/>
    <cellStyle name="Normal 18 3 2 3 2 2 4" xfId="11229" xr:uid="{00000000-0005-0000-0000-000008520000}"/>
    <cellStyle name="Normal 18 3 2 3 2 3" xfId="1931" xr:uid="{00000000-0005-0000-0000-000009520000}"/>
    <cellStyle name="Normal 18 3 2 3 2 3 2" xfId="3888" xr:uid="{00000000-0005-0000-0000-00000A520000}"/>
    <cellStyle name="Normal 18 3 2 3 2 3 2 2" xfId="8282" xr:uid="{00000000-0005-0000-0000-00000B520000}"/>
    <cellStyle name="Normal 18 3 2 3 2 3 2 2 2" xfId="17103" xr:uid="{00000000-0005-0000-0000-00000C520000}"/>
    <cellStyle name="Normal 18 3 2 3 2 3 2 3" xfId="12696" xr:uid="{00000000-0005-0000-0000-00000D520000}"/>
    <cellStyle name="Normal 18 3 2 3 2 3 3" xfId="6077" xr:uid="{00000000-0005-0000-0000-00000E520000}"/>
    <cellStyle name="Normal 18 3 2 3 2 3 3 2" xfId="14898" xr:uid="{00000000-0005-0000-0000-00000F520000}"/>
    <cellStyle name="Normal 18 3 2 3 2 3 4" xfId="10491" xr:uid="{00000000-0005-0000-0000-000010520000}"/>
    <cellStyle name="Normal 18 3 2 3 2 4" xfId="3151" xr:uid="{00000000-0005-0000-0000-000011520000}"/>
    <cellStyle name="Normal 18 3 2 3 2 4 2" xfId="7545" xr:uid="{00000000-0005-0000-0000-000012520000}"/>
    <cellStyle name="Normal 18 3 2 3 2 4 2 2" xfId="16366" xr:uid="{00000000-0005-0000-0000-000013520000}"/>
    <cellStyle name="Normal 18 3 2 3 2 4 3" xfId="11959" xr:uid="{00000000-0005-0000-0000-000014520000}"/>
    <cellStyle name="Normal 18 3 2 3 2 5" xfId="5340" xr:uid="{00000000-0005-0000-0000-000015520000}"/>
    <cellStyle name="Normal 18 3 2 3 2 5 2" xfId="14161" xr:uid="{00000000-0005-0000-0000-000016520000}"/>
    <cellStyle name="Normal 18 3 2 3 2 6" xfId="9754" xr:uid="{00000000-0005-0000-0000-000017520000}"/>
    <cellStyle name="Normal 18 3 2 3 3" xfId="2192" xr:uid="{00000000-0005-0000-0000-000018520000}"/>
    <cellStyle name="Normal 18 3 2 3 3 2" xfId="4242" xr:uid="{00000000-0005-0000-0000-000019520000}"/>
    <cellStyle name="Normal 18 3 2 3 3 2 2" xfId="8651" xr:uid="{00000000-0005-0000-0000-00001A520000}"/>
    <cellStyle name="Normal 18 3 2 3 3 2 2 2" xfId="17472" xr:uid="{00000000-0005-0000-0000-00001B520000}"/>
    <cellStyle name="Normal 18 3 2 3 3 2 3" xfId="13065" xr:uid="{00000000-0005-0000-0000-00001C520000}"/>
    <cellStyle name="Normal 18 3 2 3 3 3" xfId="6446" xr:uid="{00000000-0005-0000-0000-00001D520000}"/>
    <cellStyle name="Normal 18 3 2 3 3 3 2" xfId="15267" xr:uid="{00000000-0005-0000-0000-00001E520000}"/>
    <cellStyle name="Normal 18 3 2 3 3 4" xfId="10860" xr:uid="{00000000-0005-0000-0000-00001F520000}"/>
    <cellStyle name="Normal 18 3 2 3 4" xfId="1576" xr:uid="{00000000-0005-0000-0000-000020520000}"/>
    <cellStyle name="Normal 18 3 2 3 4 2" xfId="3519" xr:uid="{00000000-0005-0000-0000-000021520000}"/>
    <cellStyle name="Normal 18 3 2 3 4 2 2" xfId="7913" xr:uid="{00000000-0005-0000-0000-000022520000}"/>
    <cellStyle name="Normal 18 3 2 3 4 2 2 2" xfId="16734" xr:uid="{00000000-0005-0000-0000-000023520000}"/>
    <cellStyle name="Normal 18 3 2 3 4 2 3" xfId="12327" xr:uid="{00000000-0005-0000-0000-000024520000}"/>
    <cellStyle name="Normal 18 3 2 3 4 3" xfId="5708" xr:uid="{00000000-0005-0000-0000-000025520000}"/>
    <cellStyle name="Normal 18 3 2 3 4 3 2" xfId="14529" xr:uid="{00000000-0005-0000-0000-000026520000}"/>
    <cellStyle name="Normal 18 3 2 3 4 4" xfId="10122" xr:uid="{00000000-0005-0000-0000-000027520000}"/>
    <cellStyle name="Normal 18 3 2 3 5" xfId="2782" xr:uid="{00000000-0005-0000-0000-000028520000}"/>
    <cellStyle name="Normal 18 3 2 3 5 2" xfId="7176" xr:uid="{00000000-0005-0000-0000-000029520000}"/>
    <cellStyle name="Normal 18 3 2 3 5 2 2" xfId="15997" xr:uid="{00000000-0005-0000-0000-00002A520000}"/>
    <cellStyle name="Normal 18 3 2 3 5 3" xfId="11590" xr:uid="{00000000-0005-0000-0000-00002B520000}"/>
    <cellStyle name="Normal 18 3 2 3 6" xfId="4971" xr:uid="{00000000-0005-0000-0000-00002C520000}"/>
    <cellStyle name="Normal 18 3 2 3 6 2" xfId="13792" xr:uid="{00000000-0005-0000-0000-00002D520000}"/>
    <cellStyle name="Normal 18 3 2 3 7" xfId="9385" xr:uid="{00000000-0005-0000-0000-00002E520000}"/>
    <cellStyle name="Normal 18 3 2 3 8" xfId="23747" xr:uid="{00000000-0005-0000-0000-00002F520000}"/>
    <cellStyle name="Normal 18 3 2 3 9" xfId="24781" xr:uid="{00000000-0005-0000-0000-000030520000}"/>
    <cellStyle name="Normal 18 3 2 4" xfId="1316" xr:uid="{00000000-0005-0000-0000-000031520000}"/>
    <cellStyle name="Normal 18 3 2 4 2" xfId="2322" xr:uid="{00000000-0005-0000-0000-000032520000}"/>
    <cellStyle name="Normal 18 3 2 4 2 2" xfId="4413" xr:uid="{00000000-0005-0000-0000-000033520000}"/>
    <cellStyle name="Normal 18 3 2 4 2 2 2" xfId="8835" xr:uid="{00000000-0005-0000-0000-000034520000}"/>
    <cellStyle name="Normal 18 3 2 4 2 2 2 2" xfId="17656" xr:uid="{00000000-0005-0000-0000-000035520000}"/>
    <cellStyle name="Normal 18 3 2 4 2 2 3" xfId="13249" xr:uid="{00000000-0005-0000-0000-000036520000}"/>
    <cellStyle name="Normal 18 3 2 4 2 3" xfId="6630" xr:uid="{00000000-0005-0000-0000-000037520000}"/>
    <cellStyle name="Normal 18 3 2 4 2 3 2" xfId="15451" xr:uid="{00000000-0005-0000-0000-000038520000}"/>
    <cellStyle name="Normal 18 3 2 4 2 4" xfId="11044" xr:uid="{00000000-0005-0000-0000-000039520000}"/>
    <cellStyle name="Normal 18 3 2 4 3" xfId="1747" xr:uid="{00000000-0005-0000-0000-00003A520000}"/>
    <cellStyle name="Normal 18 3 2 4 3 2" xfId="3703" xr:uid="{00000000-0005-0000-0000-00003B520000}"/>
    <cellStyle name="Normal 18 3 2 4 3 2 2" xfId="8097" xr:uid="{00000000-0005-0000-0000-00003C520000}"/>
    <cellStyle name="Normal 18 3 2 4 3 2 2 2" xfId="16918" xr:uid="{00000000-0005-0000-0000-00003D520000}"/>
    <cellStyle name="Normal 18 3 2 4 3 2 3" xfId="12511" xr:uid="{00000000-0005-0000-0000-00003E520000}"/>
    <cellStyle name="Normal 18 3 2 4 3 3" xfId="5892" xr:uid="{00000000-0005-0000-0000-00003F520000}"/>
    <cellStyle name="Normal 18 3 2 4 3 3 2" xfId="14713" xr:uid="{00000000-0005-0000-0000-000040520000}"/>
    <cellStyle name="Normal 18 3 2 4 3 4" xfId="10306" xr:uid="{00000000-0005-0000-0000-000041520000}"/>
    <cellStyle name="Normal 18 3 2 4 4" xfId="2966" xr:uid="{00000000-0005-0000-0000-000042520000}"/>
    <cellStyle name="Normal 18 3 2 4 4 2" xfId="7360" xr:uid="{00000000-0005-0000-0000-000043520000}"/>
    <cellStyle name="Normal 18 3 2 4 4 2 2" xfId="16181" xr:uid="{00000000-0005-0000-0000-000044520000}"/>
    <cellStyle name="Normal 18 3 2 4 4 3" xfId="11774" xr:uid="{00000000-0005-0000-0000-000045520000}"/>
    <cellStyle name="Normal 18 3 2 4 5" xfId="5155" xr:uid="{00000000-0005-0000-0000-000046520000}"/>
    <cellStyle name="Normal 18 3 2 4 5 2" xfId="13976" xr:uid="{00000000-0005-0000-0000-000047520000}"/>
    <cellStyle name="Normal 18 3 2 4 6" xfId="9569" xr:uid="{00000000-0005-0000-0000-000048520000}"/>
    <cellStyle name="Normal 18 3 2 5" xfId="2061" xr:uid="{00000000-0005-0000-0000-000049520000}"/>
    <cellStyle name="Normal 18 3 2 5 2" xfId="4058" xr:uid="{00000000-0005-0000-0000-00004A520000}"/>
    <cellStyle name="Normal 18 3 2 5 2 2" xfId="8466" xr:uid="{00000000-0005-0000-0000-00004B520000}"/>
    <cellStyle name="Normal 18 3 2 5 2 2 2" xfId="17287" xr:uid="{00000000-0005-0000-0000-00004C520000}"/>
    <cellStyle name="Normal 18 3 2 5 2 3" xfId="12880" xr:uid="{00000000-0005-0000-0000-00004D520000}"/>
    <cellStyle name="Normal 18 3 2 5 3" xfId="6261" xr:uid="{00000000-0005-0000-0000-00004E520000}"/>
    <cellStyle name="Normal 18 3 2 5 3 2" xfId="15082" xr:uid="{00000000-0005-0000-0000-00004F520000}"/>
    <cellStyle name="Normal 18 3 2 5 4" xfId="10675" xr:uid="{00000000-0005-0000-0000-000050520000}"/>
    <cellStyle name="Normal 18 3 2 6" xfId="1419" xr:uid="{00000000-0005-0000-0000-000051520000}"/>
    <cellStyle name="Normal 18 3 2 6 2" xfId="3334" xr:uid="{00000000-0005-0000-0000-000052520000}"/>
    <cellStyle name="Normal 18 3 2 6 2 2" xfId="7728" xr:uid="{00000000-0005-0000-0000-000053520000}"/>
    <cellStyle name="Normal 18 3 2 6 2 2 2" xfId="16549" xr:uid="{00000000-0005-0000-0000-000054520000}"/>
    <cellStyle name="Normal 18 3 2 6 2 3" xfId="12142" xr:uid="{00000000-0005-0000-0000-000055520000}"/>
    <cellStyle name="Normal 18 3 2 6 3" xfId="5523" xr:uid="{00000000-0005-0000-0000-000056520000}"/>
    <cellStyle name="Normal 18 3 2 6 3 2" xfId="14344" xr:uid="{00000000-0005-0000-0000-000057520000}"/>
    <cellStyle name="Normal 18 3 2 6 4" xfId="9937" xr:uid="{00000000-0005-0000-0000-000058520000}"/>
    <cellStyle name="Normal 18 3 2 7" xfId="2598" xr:uid="{00000000-0005-0000-0000-000059520000}"/>
    <cellStyle name="Normal 18 3 2 7 2" xfId="6991" xr:uid="{00000000-0005-0000-0000-00005A520000}"/>
    <cellStyle name="Normal 18 3 2 7 2 2" xfId="15812" xr:uid="{00000000-0005-0000-0000-00005B520000}"/>
    <cellStyle name="Normal 18 3 2 7 3" xfId="11405" xr:uid="{00000000-0005-0000-0000-00005C520000}"/>
    <cellStyle name="Normal 18 3 2 8" xfId="4786" xr:uid="{00000000-0005-0000-0000-00005D520000}"/>
    <cellStyle name="Normal 18 3 2 8 2" xfId="13607" xr:uid="{00000000-0005-0000-0000-00005E520000}"/>
    <cellStyle name="Normal 18 3 2 9" xfId="9200" xr:uid="{00000000-0005-0000-0000-00005F520000}"/>
    <cellStyle name="Normal 18 3 3" xfId="1225" xr:uid="{00000000-0005-0000-0000-000060520000}"/>
    <cellStyle name="Normal 18 3 3 2" xfId="1213" xr:uid="{00000000-0005-0000-0000-000061520000}"/>
    <cellStyle name="Normal 18 3 3 2 10" xfId="25597" xr:uid="{00000000-0005-0000-0000-000062520000}"/>
    <cellStyle name="Normal 18 3 3 2 11" xfId="24701" xr:uid="{00000000-0005-0000-0000-000063520000}"/>
    <cellStyle name="Normal 18 3 3 2 12" xfId="26628" xr:uid="{00000000-0005-0000-0000-000064520000}"/>
    <cellStyle name="Normal 18 3 3 2 13" xfId="24322" xr:uid="{00000000-0005-0000-0000-000065520000}"/>
    <cellStyle name="Normal 18 3 3 2 2" xfId="1324" xr:uid="{00000000-0005-0000-0000-000066520000}"/>
    <cellStyle name="Normal 18 3 3 2 2 2" xfId="2472" xr:uid="{00000000-0005-0000-0000-000067520000}"/>
    <cellStyle name="Normal 18 3 3 2 2 2 2" xfId="4642" xr:uid="{00000000-0005-0000-0000-000068520000}"/>
    <cellStyle name="Normal 18 3 3 2 2 2 2 2" xfId="9065" xr:uid="{00000000-0005-0000-0000-000069520000}"/>
    <cellStyle name="Normal 18 3 3 2 2 2 2 2 2" xfId="17886" xr:uid="{00000000-0005-0000-0000-00006A520000}"/>
    <cellStyle name="Normal 18 3 3 2 2 2 2 3" xfId="13479" xr:uid="{00000000-0005-0000-0000-00006B520000}"/>
    <cellStyle name="Normal 18 3 3 2 2 2 3" xfId="6860" xr:uid="{00000000-0005-0000-0000-00006C520000}"/>
    <cellStyle name="Normal 18 3 3 2 2 2 3 2" xfId="15681" xr:uid="{00000000-0005-0000-0000-00006D520000}"/>
    <cellStyle name="Normal 18 3 3 2 2 2 4" xfId="11274" xr:uid="{00000000-0005-0000-0000-00006E520000}"/>
    <cellStyle name="Normal 18 3 3 2 2 3" xfId="1976" xr:uid="{00000000-0005-0000-0000-00006F520000}"/>
    <cellStyle name="Normal 18 3 3 2 2 3 2" xfId="3933" xr:uid="{00000000-0005-0000-0000-000070520000}"/>
    <cellStyle name="Normal 18 3 3 2 2 3 2 2" xfId="8327" xr:uid="{00000000-0005-0000-0000-000071520000}"/>
    <cellStyle name="Normal 18 3 3 2 2 3 2 2 2" xfId="17148" xr:uid="{00000000-0005-0000-0000-000072520000}"/>
    <cellStyle name="Normal 18 3 3 2 2 3 2 3" xfId="12741" xr:uid="{00000000-0005-0000-0000-000073520000}"/>
    <cellStyle name="Normal 18 3 3 2 2 3 3" xfId="6122" xr:uid="{00000000-0005-0000-0000-000074520000}"/>
    <cellStyle name="Normal 18 3 3 2 2 3 3 2" xfId="14943" xr:uid="{00000000-0005-0000-0000-000075520000}"/>
    <cellStyle name="Normal 18 3 3 2 2 3 4" xfId="10536" xr:uid="{00000000-0005-0000-0000-000076520000}"/>
    <cellStyle name="Normal 18 3 3 2 2 4" xfId="3196" xr:uid="{00000000-0005-0000-0000-000077520000}"/>
    <cellStyle name="Normal 18 3 3 2 2 4 2" xfId="7590" xr:uid="{00000000-0005-0000-0000-000078520000}"/>
    <cellStyle name="Normal 18 3 3 2 2 4 2 2" xfId="16411" xr:uid="{00000000-0005-0000-0000-000079520000}"/>
    <cellStyle name="Normal 18 3 3 2 2 4 3" xfId="12004" xr:uid="{00000000-0005-0000-0000-00007A520000}"/>
    <cellStyle name="Normal 18 3 3 2 2 5" xfId="5385" xr:uid="{00000000-0005-0000-0000-00007B520000}"/>
    <cellStyle name="Normal 18 3 3 2 2 5 2" xfId="14206" xr:uid="{00000000-0005-0000-0000-00007C520000}"/>
    <cellStyle name="Normal 18 3 3 2 2 6" xfId="9799" xr:uid="{00000000-0005-0000-0000-00007D520000}"/>
    <cellStyle name="Normal 18 3 3 2 3" xfId="2211" xr:uid="{00000000-0005-0000-0000-00007E520000}"/>
    <cellStyle name="Normal 18 3 3 2 3 2" xfId="4287" xr:uid="{00000000-0005-0000-0000-00007F520000}"/>
    <cellStyle name="Normal 18 3 3 2 3 2 2" xfId="8696" xr:uid="{00000000-0005-0000-0000-000080520000}"/>
    <cellStyle name="Normal 18 3 3 2 3 2 2 2" xfId="17517" xr:uid="{00000000-0005-0000-0000-000081520000}"/>
    <cellStyle name="Normal 18 3 3 2 3 2 3" xfId="13110" xr:uid="{00000000-0005-0000-0000-000082520000}"/>
    <cellStyle name="Normal 18 3 3 2 3 3" xfId="6491" xr:uid="{00000000-0005-0000-0000-000083520000}"/>
    <cellStyle name="Normal 18 3 3 2 3 3 2" xfId="15312" xr:uid="{00000000-0005-0000-0000-000084520000}"/>
    <cellStyle name="Normal 18 3 3 2 3 4" xfId="10905" xr:uid="{00000000-0005-0000-0000-000085520000}"/>
    <cellStyle name="Normal 18 3 3 2 4" xfId="1621" xr:uid="{00000000-0005-0000-0000-000086520000}"/>
    <cellStyle name="Normal 18 3 3 2 4 2" xfId="3564" xr:uid="{00000000-0005-0000-0000-000087520000}"/>
    <cellStyle name="Normal 18 3 3 2 4 2 2" xfId="7958" xr:uid="{00000000-0005-0000-0000-000088520000}"/>
    <cellStyle name="Normal 18 3 3 2 4 2 2 2" xfId="16779" xr:uid="{00000000-0005-0000-0000-000089520000}"/>
    <cellStyle name="Normal 18 3 3 2 4 2 3" xfId="12372" xr:uid="{00000000-0005-0000-0000-00008A520000}"/>
    <cellStyle name="Normal 18 3 3 2 4 3" xfId="5753" xr:uid="{00000000-0005-0000-0000-00008B520000}"/>
    <cellStyle name="Normal 18 3 3 2 4 3 2" xfId="14574" xr:uid="{00000000-0005-0000-0000-00008C520000}"/>
    <cellStyle name="Normal 18 3 3 2 4 4" xfId="10167" xr:uid="{00000000-0005-0000-0000-00008D520000}"/>
    <cellStyle name="Normal 18 3 3 2 5" xfId="2827" xr:uid="{00000000-0005-0000-0000-00008E520000}"/>
    <cellStyle name="Normal 18 3 3 2 5 2" xfId="7221" xr:uid="{00000000-0005-0000-0000-00008F520000}"/>
    <cellStyle name="Normal 18 3 3 2 5 2 2" xfId="16042" xr:uid="{00000000-0005-0000-0000-000090520000}"/>
    <cellStyle name="Normal 18 3 3 2 5 3" xfId="11635" xr:uid="{00000000-0005-0000-0000-000091520000}"/>
    <cellStyle name="Normal 18 3 3 2 6" xfId="5016" xr:uid="{00000000-0005-0000-0000-000092520000}"/>
    <cellStyle name="Normal 18 3 3 2 6 2" xfId="13837" xr:uid="{00000000-0005-0000-0000-000093520000}"/>
    <cellStyle name="Normal 18 3 3 2 7" xfId="9430" xr:uid="{00000000-0005-0000-0000-000094520000}"/>
    <cellStyle name="Normal 18 3 3 2 8" xfId="23926" xr:uid="{00000000-0005-0000-0000-000095520000}"/>
    <cellStyle name="Normal 18 3 3 2 9" xfId="21929" xr:uid="{00000000-0005-0000-0000-000096520000}"/>
    <cellStyle name="Normal 18 3 3 3" xfId="1068" xr:uid="{00000000-0005-0000-0000-000097520000}"/>
    <cellStyle name="Normal 18 3 3 3 2" xfId="2341" xr:uid="{00000000-0005-0000-0000-000098520000}"/>
    <cellStyle name="Normal 18 3 3 3 2 2" xfId="4458" xr:uid="{00000000-0005-0000-0000-000099520000}"/>
    <cellStyle name="Normal 18 3 3 3 2 2 2" xfId="8880" xr:uid="{00000000-0005-0000-0000-00009A520000}"/>
    <cellStyle name="Normal 18 3 3 3 2 2 2 2" xfId="17701" xr:uid="{00000000-0005-0000-0000-00009B520000}"/>
    <cellStyle name="Normal 18 3 3 3 2 2 3" xfId="13294" xr:uid="{00000000-0005-0000-0000-00009C520000}"/>
    <cellStyle name="Normal 18 3 3 3 2 3" xfId="6675" xr:uid="{00000000-0005-0000-0000-00009D520000}"/>
    <cellStyle name="Normal 18 3 3 3 2 3 2" xfId="15496" xr:uid="{00000000-0005-0000-0000-00009E520000}"/>
    <cellStyle name="Normal 18 3 3 3 2 4" xfId="11089" xr:uid="{00000000-0005-0000-0000-00009F520000}"/>
    <cellStyle name="Normal 18 3 3 3 3" xfId="1792" xr:uid="{00000000-0005-0000-0000-0000A0520000}"/>
    <cellStyle name="Normal 18 3 3 3 3 2" xfId="3748" xr:uid="{00000000-0005-0000-0000-0000A1520000}"/>
    <cellStyle name="Normal 18 3 3 3 3 2 2" xfId="8142" xr:uid="{00000000-0005-0000-0000-0000A2520000}"/>
    <cellStyle name="Normal 18 3 3 3 3 2 2 2" xfId="16963" xr:uid="{00000000-0005-0000-0000-0000A3520000}"/>
    <cellStyle name="Normal 18 3 3 3 3 2 3" xfId="12556" xr:uid="{00000000-0005-0000-0000-0000A4520000}"/>
    <cellStyle name="Normal 18 3 3 3 3 3" xfId="5937" xr:uid="{00000000-0005-0000-0000-0000A5520000}"/>
    <cellStyle name="Normal 18 3 3 3 3 3 2" xfId="14758" xr:uid="{00000000-0005-0000-0000-0000A6520000}"/>
    <cellStyle name="Normal 18 3 3 3 3 4" xfId="10351" xr:uid="{00000000-0005-0000-0000-0000A7520000}"/>
    <cellStyle name="Normal 18 3 3 3 4" xfId="3011" xr:uid="{00000000-0005-0000-0000-0000A8520000}"/>
    <cellStyle name="Normal 18 3 3 3 4 2" xfId="7405" xr:uid="{00000000-0005-0000-0000-0000A9520000}"/>
    <cellStyle name="Normal 18 3 3 3 4 2 2" xfId="16226" xr:uid="{00000000-0005-0000-0000-0000AA520000}"/>
    <cellStyle name="Normal 18 3 3 3 4 3" xfId="11819" xr:uid="{00000000-0005-0000-0000-0000AB520000}"/>
    <cellStyle name="Normal 18 3 3 3 5" xfId="5200" xr:uid="{00000000-0005-0000-0000-0000AC520000}"/>
    <cellStyle name="Normal 18 3 3 3 5 2" xfId="14021" xr:uid="{00000000-0005-0000-0000-0000AD520000}"/>
    <cellStyle name="Normal 18 3 3 3 6" xfId="9614" xr:uid="{00000000-0005-0000-0000-0000AE520000}"/>
    <cellStyle name="Normal 18 3 3 4" xfId="2080" xr:uid="{00000000-0005-0000-0000-0000AF520000}"/>
    <cellStyle name="Normal 18 3 3 4 2" xfId="4103" xr:uid="{00000000-0005-0000-0000-0000B0520000}"/>
    <cellStyle name="Normal 18 3 3 4 2 2" xfId="8511" xr:uid="{00000000-0005-0000-0000-0000B1520000}"/>
    <cellStyle name="Normal 18 3 3 4 2 2 2" xfId="17332" xr:uid="{00000000-0005-0000-0000-0000B2520000}"/>
    <cellStyle name="Normal 18 3 3 4 2 3" xfId="12925" xr:uid="{00000000-0005-0000-0000-0000B3520000}"/>
    <cellStyle name="Normal 18 3 3 4 3" xfId="6306" xr:uid="{00000000-0005-0000-0000-0000B4520000}"/>
    <cellStyle name="Normal 18 3 3 4 3 2" xfId="15127" xr:uid="{00000000-0005-0000-0000-0000B5520000}"/>
    <cellStyle name="Normal 18 3 3 4 4" xfId="10720" xr:uid="{00000000-0005-0000-0000-0000B6520000}"/>
    <cellStyle name="Normal 18 3 3 5" xfId="1438" xr:uid="{00000000-0005-0000-0000-0000B7520000}"/>
    <cellStyle name="Normal 18 3 3 5 2" xfId="3379" xr:uid="{00000000-0005-0000-0000-0000B8520000}"/>
    <cellStyle name="Normal 18 3 3 5 2 2" xfId="7773" xr:uid="{00000000-0005-0000-0000-0000B9520000}"/>
    <cellStyle name="Normal 18 3 3 5 2 2 2" xfId="16594" xr:uid="{00000000-0005-0000-0000-0000BA520000}"/>
    <cellStyle name="Normal 18 3 3 5 2 3" xfId="12187" xr:uid="{00000000-0005-0000-0000-0000BB520000}"/>
    <cellStyle name="Normal 18 3 3 5 3" xfId="5568" xr:uid="{00000000-0005-0000-0000-0000BC520000}"/>
    <cellStyle name="Normal 18 3 3 5 3 2" xfId="14389" xr:uid="{00000000-0005-0000-0000-0000BD520000}"/>
    <cellStyle name="Normal 18 3 3 5 4" xfId="9982" xr:uid="{00000000-0005-0000-0000-0000BE520000}"/>
    <cellStyle name="Normal 18 3 3 6" xfId="2643" xr:uid="{00000000-0005-0000-0000-0000BF520000}"/>
    <cellStyle name="Normal 18 3 3 6 2" xfId="7036" xr:uid="{00000000-0005-0000-0000-0000C0520000}"/>
    <cellStyle name="Normal 18 3 3 6 2 2" xfId="15857" xr:uid="{00000000-0005-0000-0000-0000C1520000}"/>
    <cellStyle name="Normal 18 3 3 6 3" xfId="11450" xr:uid="{00000000-0005-0000-0000-0000C2520000}"/>
    <cellStyle name="Normal 18 3 3 7" xfId="4831" xr:uid="{00000000-0005-0000-0000-0000C3520000}"/>
    <cellStyle name="Normal 18 3 3 7 2" xfId="13652" xr:uid="{00000000-0005-0000-0000-0000C4520000}"/>
    <cellStyle name="Normal 18 3 3 8" xfId="9245" xr:uid="{00000000-0005-0000-0000-0000C5520000}"/>
    <cellStyle name="Normal 18 3 4" xfId="1282" xr:uid="{00000000-0005-0000-0000-0000C6520000}"/>
    <cellStyle name="Normal 18 3 4 10" xfId="25278" xr:uid="{00000000-0005-0000-0000-0000C7520000}"/>
    <cellStyle name="Normal 18 3 4 11" xfId="25508" xr:uid="{00000000-0005-0000-0000-0000C8520000}"/>
    <cellStyle name="Normal 18 3 4 12" xfId="23665" xr:uid="{00000000-0005-0000-0000-0000C9520000}"/>
    <cellStyle name="Normal 18 3 4 13" xfId="26555" xr:uid="{00000000-0005-0000-0000-0000CA520000}"/>
    <cellStyle name="Normal 18 3 4 2" xfId="1297" xr:uid="{00000000-0005-0000-0000-0000CB520000}"/>
    <cellStyle name="Normal 18 3 4 2 2" xfId="2407" xr:uid="{00000000-0005-0000-0000-0000CC520000}"/>
    <cellStyle name="Normal 18 3 4 2 2 2" xfId="4551" xr:uid="{00000000-0005-0000-0000-0000CD520000}"/>
    <cellStyle name="Normal 18 3 4 2 2 2 2" xfId="8973" xr:uid="{00000000-0005-0000-0000-0000CE520000}"/>
    <cellStyle name="Normal 18 3 4 2 2 2 2 2" xfId="17794" xr:uid="{00000000-0005-0000-0000-0000CF520000}"/>
    <cellStyle name="Normal 18 3 4 2 2 2 3" xfId="13387" xr:uid="{00000000-0005-0000-0000-0000D0520000}"/>
    <cellStyle name="Normal 18 3 4 2 2 3" xfId="6768" xr:uid="{00000000-0005-0000-0000-0000D1520000}"/>
    <cellStyle name="Normal 18 3 4 2 2 3 2" xfId="15589" xr:uid="{00000000-0005-0000-0000-0000D2520000}"/>
    <cellStyle name="Normal 18 3 4 2 2 4" xfId="11182" xr:uid="{00000000-0005-0000-0000-0000D3520000}"/>
    <cellStyle name="Normal 18 3 4 2 3" xfId="1885" xr:uid="{00000000-0005-0000-0000-0000D4520000}"/>
    <cellStyle name="Normal 18 3 4 2 3 2" xfId="3841" xr:uid="{00000000-0005-0000-0000-0000D5520000}"/>
    <cellStyle name="Normal 18 3 4 2 3 2 2" xfId="8235" xr:uid="{00000000-0005-0000-0000-0000D6520000}"/>
    <cellStyle name="Normal 18 3 4 2 3 2 2 2" xfId="17056" xr:uid="{00000000-0005-0000-0000-0000D7520000}"/>
    <cellStyle name="Normal 18 3 4 2 3 2 3" xfId="12649" xr:uid="{00000000-0005-0000-0000-0000D8520000}"/>
    <cellStyle name="Normal 18 3 4 2 3 3" xfId="6030" xr:uid="{00000000-0005-0000-0000-0000D9520000}"/>
    <cellStyle name="Normal 18 3 4 2 3 3 2" xfId="14851" xr:uid="{00000000-0005-0000-0000-0000DA520000}"/>
    <cellStyle name="Normal 18 3 4 2 3 4" xfId="10444" xr:uid="{00000000-0005-0000-0000-0000DB520000}"/>
    <cellStyle name="Normal 18 3 4 2 4" xfId="3104" xr:uid="{00000000-0005-0000-0000-0000DC520000}"/>
    <cellStyle name="Normal 18 3 4 2 4 2" xfId="7498" xr:uid="{00000000-0005-0000-0000-0000DD520000}"/>
    <cellStyle name="Normal 18 3 4 2 4 2 2" xfId="16319" xr:uid="{00000000-0005-0000-0000-0000DE520000}"/>
    <cellStyle name="Normal 18 3 4 2 4 3" xfId="11912" xr:uid="{00000000-0005-0000-0000-0000DF520000}"/>
    <cellStyle name="Normal 18 3 4 2 5" xfId="5293" xr:uid="{00000000-0005-0000-0000-0000E0520000}"/>
    <cellStyle name="Normal 18 3 4 2 5 2" xfId="14114" xr:uid="{00000000-0005-0000-0000-0000E1520000}"/>
    <cellStyle name="Normal 18 3 4 2 6" xfId="9707" xr:uid="{00000000-0005-0000-0000-0000E2520000}"/>
    <cellStyle name="Normal 18 3 4 3" xfId="2146" xr:uid="{00000000-0005-0000-0000-0000E3520000}"/>
    <cellStyle name="Normal 18 3 4 3 2" xfId="4196" xr:uid="{00000000-0005-0000-0000-0000E4520000}"/>
    <cellStyle name="Normal 18 3 4 3 2 2" xfId="8604" xr:uid="{00000000-0005-0000-0000-0000E5520000}"/>
    <cellStyle name="Normal 18 3 4 3 2 2 2" xfId="17425" xr:uid="{00000000-0005-0000-0000-0000E6520000}"/>
    <cellStyle name="Normal 18 3 4 3 2 3" xfId="13018" xr:uid="{00000000-0005-0000-0000-0000E7520000}"/>
    <cellStyle name="Normal 18 3 4 3 3" xfId="6399" xr:uid="{00000000-0005-0000-0000-0000E8520000}"/>
    <cellStyle name="Normal 18 3 4 3 3 2" xfId="15220" xr:uid="{00000000-0005-0000-0000-0000E9520000}"/>
    <cellStyle name="Normal 18 3 4 3 4" xfId="10813" xr:uid="{00000000-0005-0000-0000-0000EA520000}"/>
    <cellStyle name="Normal 18 3 4 4" xfId="1530" xr:uid="{00000000-0005-0000-0000-0000EB520000}"/>
    <cellStyle name="Normal 18 3 4 4 2" xfId="3472" xr:uid="{00000000-0005-0000-0000-0000EC520000}"/>
    <cellStyle name="Normal 18 3 4 4 2 2" xfId="7866" xr:uid="{00000000-0005-0000-0000-0000ED520000}"/>
    <cellStyle name="Normal 18 3 4 4 2 2 2" xfId="16687" xr:uid="{00000000-0005-0000-0000-0000EE520000}"/>
    <cellStyle name="Normal 18 3 4 4 2 3" xfId="12280" xr:uid="{00000000-0005-0000-0000-0000EF520000}"/>
    <cellStyle name="Normal 18 3 4 4 3" xfId="5661" xr:uid="{00000000-0005-0000-0000-0000F0520000}"/>
    <cellStyle name="Normal 18 3 4 4 3 2" xfId="14482" xr:uid="{00000000-0005-0000-0000-0000F1520000}"/>
    <cellStyle name="Normal 18 3 4 4 4" xfId="10075" xr:uid="{00000000-0005-0000-0000-0000F2520000}"/>
    <cellStyle name="Normal 18 3 4 5" xfId="2736" xr:uid="{00000000-0005-0000-0000-0000F3520000}"/>
    <cellStyle name="Normal 18 3 4 5 2" xfId="7129" xr:uid="{00000000-0005-0000-0000-0000F4520000}"/>
    <cellStyle name="Normal 18 3 4 5 2 2" xfId="15950" xr:uid="{00000000-0005-0000-0000-0000F5520000}"/>
    <cellStyle name="Normal 18 3 4 5 3" xfId="11543" xr:uid="{00000000-0005-0000-0000-0000F6520000}"/>
    <cellStyle name="Normal 18 3 4 6" xfId="4924" xr:uid="{00000000-0005-0000-0000-0000F7520000}"/>
    <cellStyle name="Normal 18 3 4 6 2" xfId="13745" xr:uid="{00000000-0005-0000-0000-0000F8520000}"/>
    <cellStyle name="Normal 18 3 4 7" xfId="9338" xr:uid="{00000000-0005-0000-0000-0000F9520000}"/>
    <cellStyle name="Normal 18 3 4 8" xfId="24281" xr:uid="{00000000-0005-0000-0000-0000FA520000}"/>
    <cellStyle name="Normal 18 3 4 9" xfId="24438" xr:uid="{00000000-0005-0000-0000-0000FB520000}"/>
    <cellStyle name="Normal 18 3 5" xfId="1206" xr:uid="{00000000-0005-0000-0000-0000FC520000}"/>
    <cellStyle name="Normal 18 3 5 2" xfId="2276" xr:uid="{00000000-0005-0000-0000-0000FD520000}"/>
    <cellStyle name="Normal 18 3 5 2 2" xfId="4367" xr:uid="{00000000-0005-0000-0000-0000FE520000}"/>
    <cellStyle name="Normal 18 3 5 2 2 2" xfId="8788" xr:uid="{00000000-0005-0000-0000-0000FF520000}"/>
    <cellStyle name="Normal 18 3 5 2 2 2 2" xfId="17609" xr:uid="{00000000-0005-0000-0000-000000530000}"/>
    <cellStyle name="Normal 18 3 5 2 2 3" xfId="13202" xr:uid="{00000000-0005-0000-0000-000001530000}"/>
    <cellStyle name="Normal 18 3 5 2 3" xfId="6583" xr:uid="{00000000-0005-0000-0000-000002530000}"/>
    <cellStyle name="Normal 18 3 5 2 3 2" xfId="15404" xr:uid="{00000000-0005-0000-0000-000003530000}"/>
    <cellStyle name="Normal 18 3 5 2 4" xfId="10997" xr:uid="{00000000-0005-0000-0000-000004530000}"/>
    <cellStyle name="Normal 18 3 5 3" xfId="1701" xr:uid="{00000000-0005-0000-0000-000005530000}"/>
    <cellStyle name="Normal 18 3 5 3 2" xfId="3656" xr:uid="{00000000-0005-0000-0000-000006530000}"/>
    <cellStyle name="Normal 18 3 5 3 2 2" xfId="8050" xr:uid="{00000000-0005-0000-0000-000007530000}"/>
    <cellStyle name="Normal 18 3 5 3 2 2 2" xfId="16871" xr:uid="{00000000-0005-0000-0000-000008530000}"/>
    <cellStyle name="Normal 18 3 5 3 2 3" xfId="12464" xr:uid="{00000000-0005-0000-0000-000009530000}"/>
    <cellStyle name="Normal 18 3 5 3 3" xfId="5845" xr:uid="{00000000-0005-0000-0000-00000A530000}"/>
    <cellStyle name="Normal 18 3 5 3 3 2" xfId="14666" xr:uid="{00000000-0005-0000-0000-00000B530000}"/>
    <cellStyle name="Normal 18 3 5 3 4" xfId="10259" xr:uid="{00000000-0005-0000-0000-00000C530000}"/>
    <cellStyle name="Normal 18 3 5 4" xfId="2919" xr:uid="{00000000-0005-0000-0000-00000D530000}"/>
    <cellStyle name="Normal 18 3 5 4 2" xfId="7313" xr:uid="{00000000-0005-0000-0000-00000E530000}"/>
    <cellStyle name="Normal 18 3 5 4 2 2" xfId="16134" xr:uid="{00000000-0005-0000-0000-00000F530000}"/>
    <cellStyle name="Normal 18 3 5 4 3" xfId="11727" xr:uid="{00000000-0005-0000-0000-000010530000}"/>
    <cellStyle name="Normal 18 3 5 5" xfId="5108" xr:uid="{00000000-0005-0000-0000-000011530000}"/>
    <cellStyle name="Normal 18 3 5 5 2" xfId="13929" xr:uid="{00000000-0005-0000-0000-000012530000}"/>
    <cellStyle name="Normal 18 3 5 6" xfId="9522" xr:uid="{00000000-0005-0000-0000-000013530000}"/>
    <cellStyle name="Normal 18 3 6" xfId="2041" xr:uid="{00000000-0005-0000-0000-000014530000}"/>
    <cellStyle name="Normal 18 3 6 2" xfId="4012" xr:uid="{00000000-0005-0000-0000-000015530000}"/>
    <cellStyle name="Normal 18 3 6 2 2" xfId="8419" xr:uid="{00000000-0005-0000-0000-000016530000}"/>
    <cellStyle name="Normal 18 3 6 2 2 2" xfId="17240" xr:uid="{00000000-0005-0000-0000-000017530000}"/>
    <cellStyle name="Normal 18 3 6 2 3" xfId="12833" xr:uid="{00000000-0005-0000-0000-000018530000}"/>
    <cellStyle name="Normal 18 3 6 3" xfId="6214" xr:uid="{00000000-0005-0000-0000-000019530000}"/>
    <cellStyle name="Normal 18 3 6 3 2" xfId="15035" xr:uid="{00000000-0005-0000-0000-00001A530000}"/>
    <cellStyle name="Normal 18 3 6 4" xfId="10628" xr:uid="{00000000-0005-0000-0000-00001B530000}"/>
    <cellStyle name="Normal 18 3 7" xfId="1373" xr:uid="{00000000-0005-0000-0000-00001C530000}"/>
    <cellStyle name="Normal 18 3 7 2" xfId="3287" xr:uid="{00000000-0005-0000-0000-00001D530000}"/>
    <cellStyle name="Normal 18 3 7 2 2" xfId="7681" xr:uid="{00000000-0005-0000-0000-00001E530000}"/>
    <cellStyle name="Normal 18 3 7 2 2 2" xfId="16502" xr:uid="{00000000-0005-0000-0000-00001F530000}"/>
    <cellStyle name="Normal 18 3 7 2 3" xfId="12095" xr:uid="{00000000-0005-0000-0000-000020530000}"/>
    <cellStyle name="Normal 18 3 7 3" xfId="5476" xr:uid="{00000000-0005-0000-0000-000021530000}"/>
    <cellStyle name="Normal 18 3 7 3 2" xfId="14297" xr:uid="{00000000-0005-0000-0000-000022530000}"/>
    <cellStyle name="Normal 18 3 7 4" xfId="9890" xr:uid="{00000000-0005-0000-0000-000023530000}"/>
    <cellStyle name="Normal 18 3 8" xfId="2552" xr:uid="{00000000-0005-0000-0000-000024530000}"/>
    <cellStyle name="Normal 18 3 8 2" xfId="6944" xr:uid="{00000000-0005-0000-0000-000025530000}"/>
    <cellStyle name="Normal 18 3 8 2 2" xfId="15765" xr:uid="{00000000-0005-0000-0000-000026530000}"/>
    <cellStyle name="Normal 18 3 8 3" xfId="11358" xr:uid="{00000000-0005-0000-0000-000027530000}"/>
    <cellStyle name="Normal 18 3 9" xfId="4739" xr:uid="{00000000-0005-0000-0000-000028530000}"/>
    <cellStyle name="Normal 18 3 9 2" xfId="13560" xr:uid="{00000000-0005-0000-0000-000029530000}"/>
    <cellStyle name="Normal 18 4" xfId="1249" xr:uid="{00000000-0005-0000-0000-00002A530000}"/>
    <cellStyle name="Normal 18 4 2" xfId="1125" xr:uid="{00000000-0005-0000-0000-00002B530000}"/>
    <cellStyle name="Normal 18 4 2 2" xfId="1318" xr:uid="{00000000-0005-0000-0000-00002C530000}"/>
    <cellStyle name="Normal 18 4 2 2 2" xfId="1334" xr:uid="{00000000-0005-0000-0000-00002D530000}"/>
    <cellStyle name="Normal 18 4 2 2 2 10" xfId="24640" xr:uid="{00000000-0005-0000-0000-00002E530000}"/>
    <cellStyle name="Normal 18 4 2 2 2 11" xfId="18912" xr:uid="{00000000-0005-0000-0000-00002F530000}"/>
    <cellStyle name="Normal 18 4 2 2 2 12" xfId="26282" xr:uid="{00000000-0005-0000-0000-000030530000}"/>
    <cellStyle name="Normal 18 4 2 2 2 13" xfId="27039" xr:uid="{00000000-0005-0000-0000-000031530000}"/>
    <cellStyle name="Normal 18 4 2 2 2 2" xfId="2495" xr:uid="{00000000-0005-0000-0000-000032530000}"/>
    <cellStyle name="Normal 18 4 2 2 2 2 2" xfId="4665" xr:uid="{00000000-0005-0000-0000-000033530000}"/>
    <cellStyle name="Normal 18 4 2 2 2 2 2 2" xfId="9088" xr:uid="{00000000-0005-0000-0000-000034530000}"/>
    <cellStyle name="Normal 18 4 2 2 2 2 2 2 2" xfId="17909" xr:uid="{00000000-0005-0000-0000-000035530000}"/>
    <cellStyle name="Normal 18 4 2 2 2 2 2 3" xfId="13502" xr:uid="{00000000-0005-0000-0000-000036530000}"/>
    <cellStyle name="Normal 18 4 2 2 2 2 3" xfId="6883" xr:uid="{00000000-0005-0000-0000-000037530000}"/>
    <cellStyle name="Normal 18 4 2 2 2 2 3 2" xfId="15704" xr:uid="{00000000-0005-0000-0000-000038530000}"/>
    <cellStyle name="Normal 18 4 2 2 2 2 4" xfId="11297" xr:uid="{00000000-0005-0000-0000-000039530000}"/>
    <cellStyle name="Normal 18 4 2 2 2 3" xfId="1999" xr:uid="{00000000-0005-0000-0000-00003A530000}"/>
    <cellStyle name="Normal 18 4 2 2 2 3 2" xfId="3956" xr:uid="{00000000-0005-0000-0000-00003B530000}"/>
    <cellStyle name="Normal 18 4 2 2 2 3 2 2" xfId="8350" xr:uid="{00000000-0005-0000-0000-00003C530000}"/>
    <cellStyle name="Normal 18 4 2 2 2 3 2 2 2" xfId="17171" xr:uid="{00000000-0005-0000-0000-00003D530000}"/>
    <cellStyle name="Normal 18 4 2 2 2 3 2 3" xfId="12764" xr:uid="{00000000-0005-0000-0000-00003E530000}"/>
    <cellStyle name="Normal 18 4 2 2 2 3 3" xfId="6145" xr:uid="{00000000-0005-0000-0000-00003F530000}"/>
    <cellStyle name="Normal 18 4 2 2 2 3 3 2" xfId="14966" xr:uid="{00000000-0005-0000-0000-000040530000}"/>
    <cellStyle name="Normal 18 4 2 2 2 3 4" xfId="10559" xr:uid="{00000000-0005-0000-0000-000041530000}"/>
    <cellStyle name="Normal 18 4 2 2 2 4" xfId="3219" xr:uid="{00000000-0005-0000-0000-000042530000}"/>
    <cellStyle name="Normal 18 4 2 2 2 4 2" xfId="7613" xr:uid="{00000000-0005-0000-0000-000043530000}"/>
    <cellStyle name="Normal 18 4 2 2 2 4 2 2" xfId="16434" xr:uid="{00000000-0005-0000-0000-000044530000}"/>
    <cellStyle name="Normal 18 4 2 2 2 4 3" xfId="12027" xr:uid="{00000000-0005-0000-0000-000045530000}"/>
    <cellStyle name="Normal 18 4 2 2 2 5" xfId="5408" xr:uid="{00000000-0005-0000-0000-000046530000}"/>
    <cellStyle name="Normal 18 4 2 2 2 5 2" xfId="14229" xr:uid="{00000000-0005-0000-0000-000047530000}"/>
    <cellStyle name="Normal 18 4 2 2 2 6" xfId="9822" xr:uid="{00000000-0005-0000-0000-000048530000}"/>
    <cellStyle name="Normal 18 4 2 2 2 7" xfId="23577" xr:uid="{00000000-0005-0000-0000-000049530000}"/>
    <cellStyle name="Normal 18 4 2 2 2 8" xfId="23285" xr:uid="{00000000-0005-0000-0000-00004A530000}"/>
    <cellStyle name="Normal 18 4 2 2 2 9" xfId="24616" xr:uid="{00000000-0005-0000-0000-00004B530000}"/>
    <cellStyle name="Normal 18 4 2 2 3" xfId="2234" xr:uid="{00000000-0005-0000-0000-00004C530000}"/>
    <cellStyle name="Normal 18 4 2 2 3 2" xfId="4310" xr:uid="{00000000-0005-0000-0000-00004D530000}"/>
    <cellStyle name="Normal 18 4 2 2 3 2 2" xfId="8719" xr:uid="{00000000-0005-0000-0000-00004E530000}"/>
    <cellStyle name="Normal 18 4 2 2 3 2 2 2" xfId="17540" xr:uid="{00000000-0005-0000-0000-00004F530000}"/>
    <cellStyle name="Normal 18 4 2 2 3 2 3" xfId="13133" xr:uid="{00000000-0005-0000-0000-000050530000}"/>
    <cellStyle name="Normal 18 4 2 2 3 3" xfId="6514" xr:uid="{00000000-0005-0000-0000-000051530000}"/>
    <cellStyle name="Normal 18 4 2 2 3 3 2" xfId="15335" xr:uid="{00000000-0005-0000-0000-000052530000}"/>
    <cellStyle name="Normal 18 4 2 2 3 4" xfId="10928" xr:uid="{00000000-0005-0000-0000-000053530000}"/>
    <cellStyle name="Normal 18 4 2 2 4" xfId="1644" xr:uid="{00000000-0005-0000-0000-000054530000}"/>
    <cellStyle name="Normal 18 4 2 2 4 2" xfId="3587" xr:uid="{00000000-0005-0000-0000-000055530000}"/>
    <cellStyle name="Normal 18 4 2 2 4 2 2" xfId="7981" xr:uid="{00000000-0005-0000-0000-000056530000}"/>
    <cellStyle name="Normal 18 4 2 2 4 2 2 2" xfId="16802" xr:uid="{00000000-0005-0000-0000-000057530000}"/>
    <cellStyle name="Normal 18 4 2 2 4 2 3" xfId="12395" xr:uid="{00000000-0005-0000-0000-000058530000}"/>
    <cellStyle name="Normal 18 4 2 2 4 3" xfId="5776" xr:uid="{00000000-0005-0000-0000-000059530000}"/>
    <cellStyle name="Normal 18 4 2 2 4 3 2" xfId="14597" xr:uid="{00000000-0005-0000-0000-00005A530000}"/>
    <cellStyle name="Normal 18 4 2 2 4 4" xfId="10190" xr:uid="{00000000-0005-0000-0000-00005B530000}"/>
    <cellStyle name="Normal 18 4 2 2 5" xfId="2850" xr:uid="{00000000-0005-0000-0000-00005C530000}"/>
    <cellStyle name="Normal 18 4 2 2 5 2" xfId="7244" xr:uid="{00000000-0005-0000-0000-00005D530000}"/>
    <cellStyle name="Normal 18 4 2 2 5 2 2" xfId="16065" xr:uid="{00000000-0005-0000-0000-00005E530000}"/>
    <cellStyle name="Normal 18 4 2 2 5 3" xfId="11658" xr:uid="{00000000-0005-0000-0000-00005F530000}"/>
    <cellStyle name="Normal 18 4 2 2 6" xfId="5039" xr:uid="{00000000-0005-0000-0000-000060530000}"/>
    <cellStyle name="Normal 18 4 2 2 6 2" xfId="13860" xr:uid="{00000000-0005-0000-0000-000061530000}"/>
    <cellStyle name="Normal 18 4 2 2 7" xfId="9453" xr:uid="{00000000-0005-0000-0000-000062530000}"/>
    <cellStyle name="Normal 18 4 2 3" xfId="1085" xr:uid="{00000000-0005-0000-0000-000063530000}"/>
    <cellStyle name="Normal 18 4 2 3 10" xfId="24339" xr:uid="{00000000-0005-0000-0000-000064530000}"/>
    <cellStyle name="Normal 18 4 2 3 11" xfId="26165" xr:uid="{00000000-0005-0000-0000-000065530000}"/>
    <cellStyle name="Normal 18 4 2 3 12" xfId="22031" xr:uid="{00000000-0005-0000-0000-000066530000}"/>
    <cellStyle name="Normal 18 4 2 3 13" xfId="25929" xr:uid="{00000000-0005-0000-0000-000067530000}"/>
    <cellStyle name="Normal 18 4 2 3 2" xfId="2364" xr:uid="{00000000-0005-0000-0000-000068530000}"/>
    <cellStyle name="Normal 18 4 2 3 2 2" xfId="4481" xr:uid="{00000000-0005-0000-0000-000069530000}"/>
    <cellStyle name="Normal 18 4 2 3 2 2 2" xfId="8903" xr:uid="{00000000-0005-0000-0000-00006A530000}"/>
    <cellStyle name="Normal 18 4 2 3 2 2 2 2" xfId="17724" xr:uid="{00000000-0005-0000-0000-00006B530000}"/>
    <cellStyle name="Normal 18 4 2 3 2 2 3" xfId="13317" xr:uid="{00000000-0005-0000-0000-00006C530000}"/>
    <cellStyle name="Normal 18 4 2 3 2 3" xfId="6698" xr:uid="{00000000-0005-0000-0000-00006D530000}"/>
    <cellStyle name="Normal 18 4 2 3 2 3 2" xfId="15519" xr:uid="{00000000-0005-0000-0000-00006E530000}"/>
    <cellStyle name="Normal 18 4 2 3 2 4" xfId="11112" xr:uid="{00000000-0005-0000-0000-00006F530000}"/>
    <cellStyle name="Normal 18 4 2 3 3" xfId="1815" xr:uid="{00000000-0005-0000-0000-000070530000}"/>
    <cellStyle name="Normal 18 4 2 3 3 2" xfId="3771" xr:uid="{00000000-0005-0000-0000-000071530000}"/>
    <cellStyle name="Normal 18 4 2 3 3 2 2" xfId="8165" xr:uid="{00000000-0005-0000-0000-000072530000}"/>
    <cellStyle name="Normal 18 4 2 3 3 2 2 2" xfId="16986" xr:uid="{00000000-0005-0000-0000-000073530000}"/>
    <cellStyle name="Normal 18 4 2 3 3 2 3" xfId="12579" xr:uid="{00000000-0005-0000-0000-000074530000}"/>
    <cellStyle name="Normal 18 4 2 3 3 3" xfId="5960" xr:uid="{00000000-0005-0000-0000-000075530000}"/>
    <cellStyle name="Normal 18 4 2 3 3 3 2" xfId="14781" xr:uid="{00000000-0005-0000-0000-000076530000}"/>
    <cellStyle name="Normal 18 4 2 3 3 4" xfId="10374" xr:uid="{00000000-0005-0000-0000-000077530000}"/>
    <cellStyle name="Normal 18 4 2 3 4" xfId="3034" xr:uid="{00000000-0005-0000-0000-000078530000}"/>
    <cellStyle name="Normal 18 4 2 3 4 2" xfId="7428" xr:uid="{00000000-0005-0000-0000-000079530000}"/>
    <cellStyle name="Normal 18 4 2 3 4 2 2" xfId="16249" xr:uid="{00000000-0005-0000-0000-00007A530000}"/>
    <cellStyle name="Normal 18 4 2 3 4 3" xfId="11842" xr:uid="{00000000-0005-0000-0000-00007B530000}"/>
    <cellStyle name="Normal 18 4 2 3 5" xfId="5223" xr:uid="{00000000-0005-0000-0000-00007C530000}"/>
    <cellStyle name="Normal 18 4 2 3 5 2" xfId="14044" xr:uid="{00000000-0005-0000-0000-00007D530000}"/>
    <cellStyle name="Normal 18 4 2 3 6" xfId="9637" xr:uid="{00000000-0005-0000-0000-00007E530000}"/>
    <cellStyle name="Normal 18 4 2 3 7" xfId="22736" xr:uid="{00000000-0005-0000-0000-00007F530000}"/>
    <cellStyle name="Normal 18 4 2 3 8" xfId="22252" xr:uid="{00000000-0005-0000-0000-000080530000}"/>
    <cellStyle name="Normal 18 4 2 3 9" xfId="24782" xr:uid="{00000000-0005-0000-0000-000081530000}"/>
    <cellStyle name="Normal 18 4 2 4" xfId="2103" xr:uid="{00000000-0005-0000-0000-000082530000}"/>
    <cellStyle name="Normal 18 4 2 4 2" xfId="4126" xr:uid="{00000000-0005-0000-0000-000083530000}"/>
    <cellStyle name="Normal 18 4 2 4 2 2" xfId="8534" xr:uid="{00000000-0005-0000-0000-000084530000}"/>
    <cellStyle name="Normal 18 4 2 4 2 2 2" xfId="17355" xr:uid="{00000000-0005-0000-0000-000085530000}"/>
    <cellStyle name="Normal 18 4 2 4 2 3" xfId="12948" xr:uid="{00000000-0005-0000-0000-000086530000}"/>
    <cellStyle name="Normal 18 4 2 4 3" xfId="6329" xr:uid="{00000000-0005-0000-0000-000087530000}"/>
    <cellStyle name="Normal 18 4 2 4 3 2" xfId="15150" xr:uid="{00000000-0005-0000-0000-000088530000}"/>
    <cellStyle name="Normal 18 4 2 4 4" xfId="10743" xr:uid="{00000000-0005-0000-0000-000089530000}"/>
    <cellStyle name="Normal 18 4 2 5" xfId="1461" xr:uid="{00000000-0005-0000-0000-00008A530000}"/>
    <cellStyle name="Normal 18 4 2 5 2" xfId="3402" xr:uid="{00000000-0005-0000-0000-00008B530000}"/>
    <cellStyle name="Normal 18 4 2 5 2 2" xfId="7796" xr:uid="{00000000-0005-0000-0000-00008C530000}"/>
    <cellStyle name="Normal 18 4 2 5 2 2 2" xfId="16617" xr:uid="{00000000-0005-0000-0000-00008D530000}"/>
    <cellStyle name="Normal 18 4 2 5 2 3" xfId="12210" xr:uid="{00000000-0005-0000-0000-00008E530000}"/>
    <cellStyle name="Normal 18 4 2 5 3" xfId="5591" xr:uid="{00000000-0005-0000-0000-00008F530000}"/>
    <cellStyle name="Normal 18 4 2 5 3 2" xfId="14412" xr:uid="{00000000-0005-0000-0000-000090530000}"/>
    <cellStyle name="Normal 18 4 2 5 4" xfId="10005" xr:uid="{00000000-0005-0000-0000-000091530000}"/>
    <cellStyle name="Normal 18 4 2 6" xfId="2666" xr:uid="{00000000-0005-0000-0000-000092530000}"/>
    <cellStyle name="Normal 18 4 2 6 2" xfId="7059" xr:uid="{00000000-0005-0000-0000-000093530000}"/>
    <cellStyle name="Normal 18 4 2 6 2 2" xfId="15880" xr:uid="{00000000-0005-0000-0000-000094530000}"/>
    <cellStyle name="Normal 18 4 2 6 3" xfId="11473" xr:uid="{00000000-0005-0000-0000-000095530000}"/>
    <cellStyle name="Normal 18 4 2 7" xfId="4854" xr:uid="{00000000-0005-0000-0000-000096530000}"/>
    <cellStyle name="Normal 18 4 2 7 2" xfId="13675" xr:uid="{00000000-0005-0000-0000-000097530000}"/>
    <cellStyle name="Normal 18 4 2 8" xfId="9268" xr:uid="{00000000-0005-0000-0000-000098530000}"/>
    <cellStyle name="Normal 18 4 3" xfId="1220" xr:uid="{00000000-0005-0000-0000-000099530000}"/>
    <cellStyle name="Normal 18 4 3 2" xfId="1278" xr:uid="{00000000-0005-0000-0000-00009A530000}"/>
    <cellStyle name="Normal 18 4 3 2 10" xfId="23481" xr:uid="{00000000-0005-0000-0000-00009B530000}"/>
    <cellStyle name="Normal 18 4 3 2 11" xfId="25013" xr:uid="{00000000-0005-0000-0000-00009C530000}"/>
    <cellStyle name="Normal 18 4 3 2 12" xfId="26510" xr:uid="{00000000-0005-0000-0000-00009D530000}"/>
    <cellStyle name="Normal 18 4 3 2 13" xfId="26751" xr:uid="{00000000-0005-0000-0000-00009E530000}"/>
    <cellStyle name="Normal 18 4 3 2 2" xfId="2430" xr:uid="{00000000-0005-0000-0000-00009F530000}"/>
    <cellStyle name="Normal 18 4 3 2 2 2" xfId="4574" xr:uid="{00000000-0005-0000-0000-0000A0530000}"/>
    <cellStyle name="Normal 18 4 3 2 2 2 2" xfId="8996" xr:uid="{00000000-0005-0000-0000-0000A1530000}"/>
    <cellStyle name="Normal 18 4 3 2 2 2 2 2" xfId="17817" xr:uid="{00000000-0005-0000-0000-0000A2530000}"/>
    <cellStyle name="Normal 18 4 3 2 2 2 3" xfId="13410" xr:uid="{00000000-0005-0000-0000-0000A3530000}"/>
    <cellStyle name="Normal 18 4 3 2 2 3" xfId="6791" xr:uid="{00000000-0005-0000-0000-0000A4530000}"/>
    <cellStyle name="Normal 18 4 3 2 2 3 2" xfId="15612" xr:uid="{00000000-0005-0000-0000-0000A5530000}"/>
    <cellStyle name="Normal 18 4 3 2 2 4" xfId="11205" xr:uid="{00000000-0005-0000-0000-0000A6530000}"/>
    <cellStyle name="Normal 18 4 3 2 3" xfId="1908" xr:uid="{00000000-0005-0000-0000-0000A7530000}"/>
    <cellStyle name="Normal 18 4 3 2 3 2" xfId="3864" xr:uid="{00000000-0005-0000-0000-0000A8530000}"/>
    <cellStyle name="Normal 18 4 3 2 3 2 2" xfId="8258" xr:uid="{00000000-0005-0000-0000-0000A9530000}"/>
    <cellStyle name="Normal 18 4 3 2 3 2 2 2" xfId="17079" xr:uid="{00000000-0005-0000-0000-0000AA530000}"/>
    <cellStyle name="Normal 18 4 3 2 3 2 3" xfId="12672" xr:uid="{00000000-0005-0000-0000-0000AB530000}"/>
    <cellStyle name="Normal 18 4 3 2 3 3" xfId="6053" xr:uid="{00000000-0005-0000-0000-0000AC530000}"/>
    <cellStyle name="Normal 18 4 3 2 3 3 2" xfId="14874" xr:uid="{00000000-0005-0000-0000-0000AD530000}"/>
    <cellStyle name="Normal 18 4 3 2 3 4" xfId="10467" xr:uid="{00000000-0005-0000-0000-0000AE530000}"/>
    <cellStyle name="Normal 18 4 3 2 4" xfId="3127" xr:uid="{00000000-0005-0000-0000-0000AF530000}"/>
    <cellStyle name="Normal 18 4 3 2 4 2" xfId="7521" xr:uid="{00000000-0005-0000-0000-0000B0530000}"/>
    <cellStyle name="Normal 18 4 3 2 4 2 2" xfId="16342" xr:uid="{00000000-0005-0000-0000-0000B1530000}"/>
    <cellStyle name="Normal 18 4 3 2 4 3" xfId="11935" xr:uid="{00000000-0005-0000-0000-0000B2530000}"/>
    <cellStyle name="Normal 18 4 3 2 5" xfId="5316" xr:uid="{00000000-0005-0000-0000-0000B3530000}"/>
    <cellStyle name="Normal 18 4 3 2 5 2" xfId="14137" xr:uid="{00000000-0005-0000-0000-0000B4530000}"/>
    <cellStyle name="Normal 18 4 3 2 6" xfId="9730" xr:uid="{00000000-0005-0000-0000-0000B5530000}"/>
    <cellStyle name="Normal 18 4 3 2 7" xfId="23209" xr:uid="{00000000-0005-0000-0000-0000B6530000}"/>
    <cellStyle name="Normal 18 4 3 2 8" xfId="20996" xr:uid="{00000000-0005-0000-0000-0000B7530000}"/>
    <cellStyle name="Normal 18 4 3 2 9" xfId="24177" xr:uid="{00000000-0005-0000-0000-0000B8530000}"/>
    <cellStyle name="Normal 18 4 3 3" xfId="2169" xr:uid="{00000000-0005-0000-0000-0000B9530000}"/>
    <cellStyle name="Normal 18 4 3 3 2" xfId="4219" xr:uid="{00000000-0005-0000-0000-0000BA530000}"/>
    <cellStyle name="Normal 18 4 3 3 2 2" xfId="8627" xr:uid="{00000000-0005-0000-0000-0000BB530000}"/>
    <cellStyle name="Normal 18 4 3 3 2 2 2" xfId="17448" xr:uid="{00000000-0005-0000-0000-0000BC530000}"/>
    <cellStyle name="Normal 18 4 3 3 2 3" xfId="13041" xr:uid="{00000000-0005-0000-0000-0000BD530000}"/>
    <cellStyle name="Normal 18 4 3 3 3" xfId="6422" xr:uid="{00000000-0005-0000-0000-0000BE530000}"/>
    <cellStyle name="Normal 18 4 3 3 3 2" xfId="15243" xr:uid="{00000000-0005-0000-0000-0000BF530000}"/>
    <cellStyle name="Normal 18 4 3 3 4" xfId="10836" xr:uid="{00000000-0005-0000-0000-0000C0530000}"/>
    <cellStyle name="Normal 18 4 3 4" xfId="1553" xr:uid="{00000000-0005-0000-0000-0000C1530000}"/>
    <cellStyle name="Normal 18 4 3 4 2" xfId="3495" xr:uid="{00000000-0005-0000-0000-0000C2530000}"/>
    <cellStyle name="Normal 18 4 3 4 2 2" xfId="7889" xr:uid="{00000000-0005-0000-0000-0000C3530000}"/>
    <cellStyle name="Normal 18 4 3 4 2 2 2" xfId="16710" xr:uid="{00000000-0005-0000-0000-0000C4530000}"/>
    <cellStyle name="Normal 18 4 3 4 2 3" xfId="12303" xr:uid="{00000000-0005-0000-0000-0000C5530000}"/>
    <cellStyle name="Normal 18 4 3 4 3" xfId="5684" xr:uid="{00000000-0005-0000-0000-0000C6530000}"/>
    <cellStyle name="Normal 18 4 3 4 3 2" xfId="14505" xr:uid="{00000000-0005-0000-0000-0000C7530000}"/>
    <cellStyle name="Normal 18 4 3 4 4" xfId="10098" xr:uid="{00000000-0005-0000-0000-0000C8530000}"/>
    <cellStyle name="Normal 18 4 3 5" xfId="2759" xr:uid="{00000000-0005-0000-0000-0000C9530000}"/>
    <cellStyle name="Normal 18 4 3 5 2" xfId="7152" xr:uid="{00000000-0005-0000-0000-0000CA530000}"/>
    <cellStyle name="Normal 18 4 3 5 2 2" xfId="15973" xr:uid="{00000000-0005-0000-0000-0000CB530000}"/>
    <cellStyle name="Normal 18 4 3 5 3" xfId="11566" xr:uid="{00000000-0005-0000-0000-0000CC530000}"/>
    <cellStyle name="Normal 18 4 3 6" xfId="4947" xr:uid="{00000000-0005-0000-0000-0000CD530000}"/>
    <cellStyle name="Normal 18 4 3 6 2" xfId="13768" xr:uid="{00000000-0005-0000-0000-0000CE530000}"/>
    <cellStyle name="Normal 18 4 3 7" xfId="9361" xr:uid="{00000000-0005-0000-0000-0000CF530000}"/>
    <cellStyle name="Normal 18 4 4" xfId="1311" xr:uid="{00000000-0005-0000-0000-0000D0530000}"/>
    <cellStyle name="Normal 18 4 4 10" xfId="23483" xr:uid="{00000000-0005-0000-0000-0000D1530000}"/>
    <cellStyle name="Normal 18 4 4 11" xfId="25885" xr:uid="{00000000-0005-0000-0000-0000D2530000}"/>
    <cellStyle name="Normal 18 4 4 12" xfId="26397" xr:uid="{00000000-0005-0000-0000-0000D3530000}"/>
    <cellStyle name="Normal 18 4 4 13" xfId="24664" xr:uid="{00000000-0005-0000-0000-0000D4530000}"/>
    <cellStyle name="Normal 18 4 4 2" xfId="2299" xr:uid="{00000000-0005-0000-0000-0000D5530000}"/>
    <cellStyle name="Normal 18 4 4 2 2" xfId="4390" xr:uid="{00000000-0005-0000-0000-0000D6530000}"/>
    <cellStyle name="Normal 18 4 4 2 2 2" xfId="8811" xr:uid="{00000000-0005-0000-0000-0000D7530000}"/>
    <cellStyle name="Normal 18 4 4 2 2 2 2" xfId="17632" xr:uid="{00000000-0005-0000-0000-0000D8530000}"/>
    <cellStyle name="Normal 18 4 4 2 2 3" xfId="13225" xr:uid="{00000000-0005-0000-0000-0000D9530000}"/>
    <cellStyle name="Normal 18 4 4 2 3" xfId="6606" xr:uid="{00000000-0005-0000-0000-0000DA530000}"/>
    <cellStyle name="Normal 18 4 4 2 3 2" xfId="15427" xr:uid="{00000000-0005-0000-0000-0000DB530000}"/>
    <cellStyle name="Normal 18 4 4 2 4" xfId="11020" xr:uid="{00000000-0005-0000-0000-0000DC530000}"/>
    <cellStyle name="Normal 18 4 4 3" xfId="1724" xr:uid="{00000000-0005-0000-0000-0000DD530000}"/>
    <cellStyle name="Normal 18 4 4 3 2" xfId="3679" xr:uid="{00000000-0005-0000-0000-0000DE530000}"/>
    <cellStyle name="Normal 18 4 4 3 2 2" xfId="8073" xr:uid="{00000000-0005-0000-0000-0000DF530000}"/>
    <cellStyle name="Normal 18 4 4 3 2 2 2" xfId="16894" xr:uid="{00000000-0005-0000-0000-0000E0530000}"/>
    <cellStyle name="Normal 18 4 4 3 2 3" xfId="12487" xr:uid="{00000000-0005-0000-0000-0000E1530000}"/>
    <cellStyle name="Normal 18 4 4 3 3" xfId="5868" xr:uid="{00000000-0005-0000-0000-0000E2530000}"/>
    <cellStyle name="Normal 18 4 4 3 3 2" xfId="14689" xr:uid="{00000000-0005-0000-0000-0000E3530000}"/>
    <cellStyle name="Normal 18 4 4 3 4" xfId="10282" xr:uid="{00000000-0005-0000-0000-0000E4530000}"/>
    <cellStyle name="Normal 18 4 4 4" xfId="2942" xr:uid="{00000000-0005-0000-0000-0000E5530000}"/>
    <cellStyle name="Normal 18 4 4 4 2" xfId="7336" xr:uid="{00000000-0005-0000-0000-0000E6530000}"/>
    <cellStyle name="Normal 18 4 4 4 2 2" xfId="16157" xr:uid="{00000000-0005-0000-0000-0000E7530000}"/>
    <cellStyle name="Normal 18 4 4 4 3" xfId="11750" xr:uid="{00000000-0005-0000-0000-0000E8530000}"/>
    <cellStyle name="Normal 18 4 4 5" xfId="5131" xr:uid="{00000000-0005-0000-0000-0000E9530000}"/>
    <cellStyle name="Normal 18 4 4 5 2" xfId="13952" xr:uid="{00000000-0005-0000-0000-0000EA530000}"/>
    <cellStyle name="Normal 18 4 4 6" xfId="9545" xr:uid="{00000000-0005-0000-0000-0000EB530000}"/>
    <cellStyle name="Normal 18 4 4 7" xfId="20025" xr:uid="{00000000-0005-0000-0000-0000EC530000}"/>
    <cellStyle name="Normal 18 4 4 8" xfId="24282" xr:uid="{00000000-0005-0000-0000-0000ED530000}"/>
    <cellStyle name="Normal 18 4 4 9" xfId="22906" xr:uid="{00000000-0005-0000-0000-0000EE530000}"/>
    <cellStyle name="Normal 18 4 5" xfId="2051" xr:uid="{00000000-0005-0000-0000-0000EF530000}"/>
    <cellStyle name="Normal 18 4 5 2" xfId="4035" xr:uid="{00000000-0005-0000-0000-0000F0530000}"/>
    <cellStyle name="Normal 18 4 5 2 2" xfId="8442" xr:uid="{00000000-0005-0000-0000-0000F1530000}"/>
    <cellStyle name="Normal 18 4 5 2 2 2" xfId="17263" xr:uid="{00000000-0005-0000-0000-0000F2530000}"/>
    <cellStyle name="Normal 18 4 5 2 3" xfId="12856" xr:uid="{00000000-0005-0000-0000-0000F3530000}"/>
    <cellStyle name="Normal 18 4 5 3" xfId="6237" xr:uid="{00000000-0005-0000-0000-0000F4530000}"/>
    <cellStyle name="Normal 18 4 5 3 2" xfId="15058" xr:uid="{00000000-0005-0000-0000-0000F5530000}"/>
    <cellStyle name="Normal 18 4 5 4" xfId="10651" xr:uid="{00000000-0005-0000-0000-0000F6530000}"/>
    <cellStyle name="Normal 18 4 6" xfId="1396" xr:uid="{00000000-0005-0000-0000-0000F7530000}"/>
    <cellStyle name="Normal 18 4 6 2" xfId="3310" xr:uid="{00000000-0005-0000-0000-0000F8530000}"/>
    <cellStyle name="Normal 18 4 6 2 2" xfId="7704" xr:uid="{00000000-0005-0000-0000-0000F9530000}"/>
    <cellStyle name="Normal 18 4 6 2 2 2" xfId="16525" xr:uid="{00000000-0005-0000-0000-0000FA530000}"/>
    <cellStyle name="Normal 18 4 6 2 3" xfId="12118" xr:uid="{00000000-0005-0000-0000-0000FB530000}"/>
    <cellStyle name="Normal 18 4 6 3" xfId="5499" xr:uid="{00000000-0005-0000-0000-0000FC530000}"/>
    <cellStyle name="Normal 18 4 6 3 2" xfId="14320" xr:uid="{00000000-0005-0000-0000-0000FD530000}"/>
    <cellStyle name="Normal 18 4 6 4" xfId="9913" xr:uid="{00000000-0005-0000-0000-0000FE530000}"/>
    <cellStyle name="Normal 18 4 7" xfId="2575" xr:uid="{00000000-0005-0000-0000-0000FF530000}"/>
    <cellStyle name="Normal 18 4 7 2" xfId="6967" xr:uid="{00000000-0005-0000-0000-000000540000}"/>
    <cellStyle name="Normal 18 4 7 2 2" xfId="15788" xr:uid="{00000000-0005-0000-0000-000001540000}"/>
    <cellStyle name="Normal 18 4 7 3" xfId="11381" xr:uid="{00000000-0005-0000-0000-000002540000}"/>
    <cellStyle name="Normal 18 4 8" xfId="4762" xr:uid="{00000000-0005-0000-0000-000003540000}"/>
    <cellStyle name="Normal 18 4 8 2" xfId="13583" xr:uid="{00000000-0005-0000-0000-000004540000}"/>
    <cellStyle name="Normal 18 4 9" xfId="9176" xr:uid="{00000000-0005-0000-0000-000005540000}"/>
    <cellStyle name="Normal 18 5" xfId="1142" xr:uid="{00000000-0005-0000-0000-000006540000}"/>
    <cellStyle name="Normal 18 5 2" xfId="1132" xr:uid="{00000000-0005-0000-0000-000007540000}"/>
    <cellStyle name="Normal 18 5 2 2" xfId="1148" xr:uid="{00000000-0005-0000-0000-000008540000}"/>
    <cellStyle name="Normal 18 5 2 2 2" xfId="2461" xr:uid="{00000000-0005-0000-0000-000009540000}"/>
    <cellStyle name="Normal 18 5 2 2 2 10" xfId="24683" xr:uid="{00000000-0005-0000-0000-00000A540000}"/>
    <cellStyle name="Normal 18 5 2 2 2 11" xfId="25737" xr:uid="{00000000-0005-0000-0000-00000B540000}"/>
    <cellStyle name="Normal 18 5 2 2 2 12" xfId="26049" xr:uid="{00000000-0005-0000-0000-00000C540000}"/>
    <cellStyle name="Normal 18 5 2 2 2 13" xfId="27040" xr:uid="{00000000-0005-0000-0000-00000D540000}"/>
    <cellStyle name="Normal 18 5 2 2 2 2" xfId="4617" xr:uid="{00000000-0005-0000-0000-00000E540000}"/>
    <cellStyle name="Normal 18 5 2 2 2 2 2" xfId="9040" xr:uid="{00000000-0005-0000-0000-00000F540000}"/>
    <cellStyle name="Normal 18 5 2 2 2 2 2 2" xfId="17861" xr:uid="{00000000-0005-0000-0000-000010540000}"/>
    <cellStyle name="Normal 18 5 2 2 2 2 3" xfId="13454" xr:uid="{00000000-0005-0000-0000-000011540000}"/>
    <cellStyle name="Normal 18 5 2 2 2 3" xfId="6835" xr:uid="{00000000-0005-0000-0000-000012540000}"/>
    <cellStyle name="Normal 18 5 2 2 2 3 2" xfId="15656" xr:uid="{00000000-0005-0000-0000-000013540000}"/>
    <cellStyle name="Normal 18 5 2 2 2 4" xfId="11249" xr:uid="{00000000-0005-0000-0000-000014540000}"/>
    <cellStyle name="Normal 18 5 2 2 2 5" xfId="19509" xr:uid="{00000000-0005-0000-0000-000015540000}"/>
    <cellStyle name="Normal 18 5 2 2 2 6" xfId="19307" xr:uid="{00000000-0005-0000-0000-000016540000}"/>
    <cellStyle name="Normal 18 5 2 2 2 7" xfId="23389" xr:uid="{00000000-0005-0000-0000-000017540000}"/>
    <cellStyle name="Normal 18 5 2 2 2 8" xfId="23293" xr:uid="{00000000-0005-0000-0000-000018540000}"/>
    <cellStyle name="Normal 18 5 2 2 2 9" xfId="23823" xr:uid="{00000000-0005-0000-0000-000019540000}"/>
    <cellStyle name="Normal 18 5 2 2 3" xfId="1951" xr:uid="{00000000-0005-0000-0000-00001A540000}"/>
    <cellStyle name="Normal 18 5 2 2 3 2" xfId="3908" xr:uid="{00000000-0005-0000-0000-00001B540000}"/>
    <cellStyle name="Normal 18 5 2 2 3 2 2" xfId="8302" xr:uid="{00000000-0005-0000-0000-00001C540000}"/>
    <cellStyle name="Normal 18 5 2 2 3 2 2 2" xfId="17123" xr:uid="{00000000-0005-0000-0000-00001D540000}"/>
    <cellStyle name="Normal 18 5 2 2 3 2 3" xfId="12716" xr:uid="{00000000-0005-0000-0000-00001E540000}"/>
    <cellStyle name="Normal 18 5 2 2 3 3" xfId="6097" xr:uid="{00000000-0005-0000-0000-00001F540000}"/>
    <cellStyle name="Normal 18 5 2 2 3 3 2" xfId="14918" xr:uid="{00000000-0005-0000-0000-000020540000}"/>
    <cellStyle name="Normal 18 5 2 2 3 4" xfId="10511" xr:uid="{00000000-0005-0000-0000-000021540000}"/>
    <cellStyle name="Normal 18 5 2 2 4" xfId="3171" xr:uid="{00000000-0005-0000-0000-000022540000}"/>
    <cellStyle name="Normal 18 5 2 2 4 2" xfId="7565" xr:uid="{00000000-0005-0000-0000-000023540000}"/>
    <cellStyle name="Normal 18 5 2 2 4 2 2" xfId="16386" xr:uid="{00000000-0005-0000-0000-000024540000}"/>
    <cellStyle name="Normal 18 5 2 2 4 3" xfId="11979" xr:uid="{00000000-0005-0000-0000-000025540000}"/>
    <cellStyle name="Normal 18 5 2 2 5" xfId="5360" xr:uid="{00000000-0005-0000-0000-000026540000}"/>
    <cellStyle name="Normal 18 5 2 2 5 2" xfId="14181" xr:uid="{00000000-0005-0000-0000-000027540000}"/>
    <cellStyle name="Normal 18 5 2 2 6" xfId="9774" xr:uid="{00000000-0005-0000-0000-000028540000}"/>
    <cellStyle name="Normal 18 5 2 3" xfId="2200" xr:uid="{00000000-0005-0000-0000-000029540000}"/>
    <cellStyle name="Normal 18 5 2 3 10" xfId="25434" xr:uid="{00000000-0005-0000-0000-00002A540000}"/>
    <cellStyle name="Normal 18 5 2 3 11" xfId="26153" xr:uid="{00000000-0005-0000-0000-00002B540000}"/>
    <cellStyle name="Normal 18 5 2 3 12" xfId="25796" xr:uid="{00000000-0005-0000-0000-00002C540000}"/>
    <cellStyle name="Normal 18 5 2 3 13" xfId="26849" xr:uid="{00000000-0005-0000-0000-00002D540000}"/>
    <cellStyle name="Normal 18 5 2 3 2" xfId="4262" xr:uid="{00000000-0005-0000-0000-00002E540000}"/>
    <cellStyle name="Normal 18 5 2 3 2 2" xfId="8671" xr:uid="{00000000-0005-0000-0000-00002F540000}"/>
    <cellStyle name="Normal 18 5 2 3 2 2 2" xfId="17492" xr:uid="{00000000-0005-0000-0000-000030540000}"/>
    <cellStyle name="Normal 18 5 2 3 2 3" xfId="13085" xr:uid="{00000000-0005-0000-0000-000031540000}"/>
    <cellStyle name="Normal 18 5 2 3 3" xfId="6466" xr:uid="{00000000-0005-0000-0000-000032540000}"/>
    <cellStyle name="Normal 18 5 2 3 3 2" xfId="15287" xr:uid="{00000000-0005-0000-0000-000033540000}"/>
    <cellStyle name="Normal 18 5 2 3 4" xfId="10880" xr:uid="{00000000-0005-0000-0000-000034540000}"/>
    <cellStyle name="Normal 18 5 2 3 5" xfId="21822" xr:uid="{00000000-0005-0000-0000-000035540000}"/>
    <cellStyle name="Normal 18 5 2 3 6" xfId="22507" xr:uid="{00000000-0005-0000-0000-000036540000}"/>
    <cellStyle name="Normal 18 5 2 3 7" xfId="23020" xr:uid="{00000000-0005-0000-0000-000037540000}"/>
    <cellStyle name="Normal 18 5 2 3 8" xfId="23925" xr:uid="{00000000-0005-0000-0000-000038540000}"/>
    <cellStyle name="Normal 18 5 2 3 9" xfId="24953" xr:uid="{00000000-0005-0000-0000-000039540000}"/>
    <cellStyle name="Normal 18 5 2 4" xfId="1596" xr:uid="{00000000-0005-0000-0000-00003A540000}"/>
    <cellStyle name="Normal 18 5 2 4 2" xfId="3539" xr:uid="{00000000-0005-0000-0000-00003B540000}"/>
    <cellStyle name="Normal 18 5 2 4 2 2" xfId="7933" xr:uid="{00000000-0005-0000-0000-00003C540000}"/>
    <cellStyle name="Normal 18 5 2 4 2 2 2" xfId="16754" xr:uid="{00000000-0005-0000-0000-00003D540000}"/>
    <cellStyle name="Normal 18 5 2 4 2 3" xfId="12347" xr:uid="{00000000-0005-0000-0000-00003E540000}"/>
    <cellStyle name="Normal 18 5 2 4 3" xfId="5728" xr:uid="{00000000-0005-0000-0000-00003F540000}"/>
    <cellStyle name="Normal 18 5 2 4 3 2" xfId="14549" xr:uid="{00000000-0005-0000-0000-000040540000}"/>
    <cellStyle name="Normal 18 5 2 4 4" xfId="10142" xr:uid="{00000000-0005-0000-0000-000041540000}"/>
    <cellStyle name="Normal 18 5 2 5" xfId="2802" xr:uid="{00000000-0005-0000-0000-000042540000}"/>
    <cellStyle name="Normal 18 5 2 5 2" xfId="7196" xr:uid="{00000000-0005-0000-0000-000043540000}"/>
    <cellStyle name="Normal 18 5 2 5 2 2" xfId="16017" xr:uid="{00000000-0005-0000-0000-000044540000}"/>
    <cellStyle name="Normal 18 5 2 5 3" xfId="11610" xr:uid="{00000000-0005-0000-0000-000045540000}"/>
    <cellStyle name="Normal 18 5 2 6" xfId="4991" xr:uid="{00000000-0005-0000-0000-000046540000}"/>
    <cellStyle name="Normal 18 5 2 6 2" xfId="13812" xr:uid="{00000000-0005-0000-0000-000047540000}"/>
    <cellStyle name="Normal 18 5 2 7" xfId="9405" xr:uid="{00000000-0005-0000-0000-000048540000}"/>
    <cellStyle name="Normal 18 5 3" xfId="1176" xr:uid="{00000000-0005-0000-0000-000049540000}"/>
    <cellStyle name="Normal 18 5 3 2" xfId="2330" xr:uid="{00000000-0005-0000-0000-00004A540000}"/>
    <cellStyle name="Normal 18 5 3 2 10" xfId="25602" xr:uid="{00000000-0005-0000-0000-00004B540000}"/>
    <cellStyle name="Normal 18 5 3 2 11" xfId="25339" xr:uid="{00000000-0005-0000-0000-00004C540000}"/>
    <cellStyle name="Normal 18 5 3 2 12" xfId="26511" xr:uid="{00000000-0005-0000-0000-00004D540000}"/>
    <cellStyle name="Normal 18 5 3 2 13" xfId="26435" xr:uid="{00000000-0005-0000-0000-00004E540000}"/>
    <cellStyle name="Normal 18 5 3 2 2" xfId="4433" xr:uid="{00000000-0005-0000-0000-00004F540000}"/>
    <cellStyle name="Normal 18 5 3 2 2 2" xfId="8855" xr:uid="{00000000-0005-0000-0000-000050540000}"/>
    <cellStyle name="Normal 18 5 3 2 2 2 2" xfId="17676" xr:uid="{00000000-0005-0000-0000-000051540000}"/>
    <cellStyle name="Normal 18 5 3 2 2 3" xfId="13269" xr:uid="{00000000-0005-0000-0000-000052540000}"/>
    <cellStyle name="Normal 18 5 3 2 3" xfId="6650" xr:uid="{00000000-0005-0000-0000-000053540000}"/>
    <cellStyle name="Normal 18 5 3 2 3 2" xfId="15471" xr:uid="{00000000-0005-0000-0000-000054540000}"/>
    <cellStyle name="Normal 18 5 3 2 4" xfId="11064" xr:uid="{00000000-0005-0000-0000-000055540000}"/>
    <cellStyle name="Normal 18 5 3 2 5" xfId="21646" xr:uid="{00000000-0005-0000-0000-000056540000}"/>
    <cellStyle name="Normal 18 5 3 2 6" xfId="22328" xr:uid="{00000000-0005-0000-0000-000057540000}"/>
    <cellStyle name="Normal 18 5 3 2 7" xfId="21914" xr:uid="{00000000-0005-0000-0000-000058540000}"/>
    <cellStyle name="Normal 18 5 3 2 8" xfId="23748" xr:uid="{00000000-0005-0000-0000-000059540000}"/>
    <cellStyle name="Normal 18 5 3 2 9" xfId="23498" xr:uid="{00000000-0005-0000-0000-00005A540000}"/>
    <cellStyle name="Normal 18 5 3 3" xfId="1767" xr:uid="{00000000-0005-0000-0000-00005B540000}"/>
    <cellStyle name="Normal 18 5 3 3 2" xfId="3723" xr:uid="{00000000-0005-0000-0000-00005C540000}"/>
    <cellStyle name="Normal 18 5 3 3 2 2" xfId="8117" xr:uid="{00000000-0005-0000-0000-00005D540000}"/>
    <cellStyle name="Normal 18 5 3 3 2 2 2" xfId="16938" xr:uid="{00000000-0005-0000-0000-00005E540000}"/>
    <cellStyle name="Normal 18 5 3 3 2 3" xfId="12531" xr:uid="{00000000-0005-0000-0000-00005F540000}"/>
    <cellStyle name="Normal 18 5 3 3 3" xfId="5912" xr:uid="{00000000-0005-0000-0000-000060540000}"/>
    <cellStyle name="Normal 18 5 3 3 3 2" xfId="14733" xr:uid="{00000000-0005-0000-0000-000061540000}"/>
    <cellStyle name="Normal 18 5 3 3 4" xfId="10326" xr:uid="{00000000-0005-0000-0000-000062540000}"/>
    <cellStyle name="Normal 18 5 3 4" xfId="2986" xr:uid="{00000000-0005-0000-0000-000063540000}"/>
    <cellStyle name="Normal 18 5 3 4 2" xfId="7380" xr:uid="{00000000-0005-0000-0000-000064540000}"/>
    <cellStyle name="Normal 18 5 3 4 2 2" xfId="16201" xr:uid="{00000000-0005-0000-0000-000065540000}"/>
    <cellStyle name="Normal 18 5 3 4 3" xfId="11794" xr:uid="{00000000-0005-0000-0000-000066540000}"/>
    <cellStyle name="Normal 18 5 3 5" xfId="5175" xr:uid="{00000000-0005-0000-0000-000067540000}"/>
    <cellStyle name="Normal 18 5 3 5 2" xfId="13996" xr:uid="{00000000-0005-0000-0000-000068540000}"/>
    <cellStyle name="Normal 18 5 3 6" xfId="9589" xr:uid="{00000000-0005-0000-0000-000069540000}"/>
    <cellStyle name="Normal 18 5 4" xfId="2069" xr:uid="{00000000-0005-0000-0000-00006A540000}"/>
    <cellStyle name="Normal 18 5 4 10" xfId="25114" xr:uid="{00000000-0005-0000-0000-00006B540000}"/>
    <cellStyle name="Normal 18 5 4 11" xfId="25464" xr:uid="{00000000-0005-0000-0000-00006C540000}"/>
    <cellStyle name="Normal 18 5 4 12" xfId="26080" xr:uid="{00000000-0005-0000-0000-00006D540000}"/>
    <cellStyle name="Normal 18 5 4 13" xfId="26210" xr:uid="{00000000-0005-0000-0000-00006E540000}"/>
    <cellStyle name="Normal 18 5 4 2" xfId="4078" xr:uid="{00000000-0005-0000-0000-00006F540000}"/>
    <cellStyle name="Normal 18 5 4 2 2" xfId="8486" xr:uid="{00000000-0005-0000-0000-000070540000}"/>
    <cellStyle name="Normal 18 5 4 2 2 2" xfId="17307" xr:uid="{00000000-0005-0000-0000-000071540000}"/>
    <cellStyle name="Normal 18 5 4 2 3" xfId="12900" xr:uid="{00000000-0005-0000-0000-000072540000}"/>
    <cellStyle name="Normal 18 5 4 3" xfId="6281" xr:uid="{00000000-0005-0000-0000-000073540000}"/>
    <cellStyle name="Normal 18 5 4 3 2" xfId="15102" xr:uid="{00000000-0005-0000-0000-000074540000}"/>
    <cellStyle name="Normal 18 5 4 4" xfId="10695" xr:uid="{00000000-0005-0000-0000-000075540000}"/>
    <cellStyle name="Normal 18 5 4 5" xfId="22168" xr:uid="{00000000-0005-0000-0000-000076540000}"/>
    <cellStyle name="Normal 18 5 4 6" xfId="22854" xr:uid="{00000000-0005-0000-0000-000077540000}"/>
    <cellStyle name="Normal 18 5 4 7" xfId="20024" xr:uid="{00000000-0005-0000-0000-000078540000}"/>
    <cellStyle name="Normal 18 5 4 8" xfId="24283" xr:uid="{00000000-0005-0000-0000-000079540000}"/>
    <cellStyle name="Normal 18 5 4 9" xfId="24613" xr:uid="{00000000-0005-0000-0000-00007A540000}"/>
    <cellStyle name="Normal 18 5 5" xfId="1427" xr:uid="{00000000-0005-0000-0000-00007B540000}"/>
    <cellStyle name="Normal 18 5 5 2" xfId="3354" xr:uid="{00000000-0005-0000-0000-00007C540000}"/>
    <cellStyle name="Normal 18 5 5 2 2" xfId="7748" xr:uid="{00000000-0005-0000-0000-00007D540000}"/>
    <cellStyle name="Normal 18 5 5 2 2 2" xfId="16569" xr:uid="{00000000-0005-0000-0000-00007E540000}"/>
    <cellStyle name="Normal 18 5 5 2 3" xfId="12162" xr:uid="{00000000-0005-0000-0000-00007F540000}"/>
    <cellStyle name="Normal 18 5 5 3" xfId="5543" xr:uid="{00000000-0005-0000-0000-000080540000}"/>
    <cellStyle name="Normal 18 5 5 3 2" xfId="14364" xr:uid="{00000000-0005-0000-0000-000081540000}"/>
    <cellStyle name="Normal 18 5 5 4" xfId="9957" xr:uid="{00000000-0005-0000-0000-000082540000}"/>
    <cellStyle name="Normal 18 5 6" xfId="2618" xr:uid="{00000000-0005-0000-0000-000083540000}"/>
    <cellStyle name="Normal 18 5 6 2" xfId="7011" xr:uid="{00000000-0005-0000-0000-000084540000}"/>
    <cellStyle name="Normal 18 5 6 2 2" xfId="15832" xr:uid="{00000000-0005-0000-0000-000085540000}"/>
    <cellStyle name="Normal 18 5 6 3" xfId="11425" xr:uid="{00000000-0005-0000-0000-000086540000}"/>
    <cellStyle name="Normal 18 5 7" xfId="4806" xr:uid="{00000000-0005-0000-0000-000087540000}"/>
    <cellStyle name="Normal 18 5 7 2" xfId="13627" xr:uid="{00000000-0005-0000-0000-000088540000}"/>
    <cellStyle name="Normal 18 5 8" xfId="9220" xr:uid="{00000000-0005-0000-0000-000089540000}"/>
    <cellStyle name="Normal 18 6" xfId="1139" xr:uid="{00000000-0005-0000-0000-00008A540000}"/>
    <cellStyle name="Normal 18 6 2" xfId="1194" xr:uid="{00000000-0005-0000-0000-00008B540000}"/>
    <cellStyle name="Normal 18 6 2 2" xfId="2395" xr:uid="{00000000-0005-0000-0000-00008C540000}"/>
    <cellStyle name="Normal 18 6 2 2 10" xfId="23660" xr:uid="{00000000-0005-0000-0000-00008D540000}"/>
    <cellStyle name="Normal 18 6 2 2 11" xfId="26167" xr:uid="{00000000-0005-0000-0000-00008E540000}"/>
    <cellStyle name="Normal 18 6 2 2 12" xfId="25033" xr:uid="{00000000-0005-0000-0000-00008F540000}"/>
    <cellStyle name="Normal 18 6 2 2 13" xfId="25931" xr:uid="{00000000-0005-0000-0000-000090540000}"/>
    <cellStyle name="Normal 18 6 2 2 2" xfId="4525" xr:uid="{00000000-0005-0000-0000-000091540000}"/>
    <cellStyle name="Normal 18 6 2 2 2 2" xfId="8947" xr:uid="{00000000-0005-0000-0000-000092540000}"/>
    <cellStyle name="Normal 18 6 2 2 2 2 2" xfId="17768" xr:uid="{00000000-0005-0000-0000-000093540000}"/>
    <cellStyle name="Normal 18 6 2 2 2 3" xfId="13361" xr:uid="{00000000-0005-0000-0000-000094540000}"/>
    <cellStyle name="Normal 18 6 2 2 3" xfId="6742" xr:uid="{00000000-0005-0000-0000-000095540000}"/>
    <cellStyle name="Normal 18 6 2 2 3 2" xfId="15563" xr:uid="{00000000-0005-0000-0000-000096540000}"/>
    <cellStyle name="Normal 18 6 2 2 4" xfId="11156" xr:uid="{00000000-0005-0000-0000-000097540000}"/>
    <cellStyle name="Normal 18 6 2 2 5" xfId="19890" xr:uid="{00000000-0005-0000-0000-000098540000}"/>
    <cellStyle name="Normal 18 6 2 2 6" xfId="21278" xr:uid="{00000000-0005-0000-0000-000099540000}"/>
    <cellStyle name="Normal 18 6 2 2 7" xfId="20592" xr:uid="{00000000-0005-0000-0000-00009A540000}"/>
    <cellStyle name="Normal 18 6 2 2 8" xfId="20936" xr:uid="{00000000-0005-0000-0000-00009B540000}"/>
    <cellStyle name="Normal 18 6 2 2 9" xfId="24158" xr:uid="{00000000-0005-0000-0000-00009C540000}"/>
    <cellStyle name="Normal 18 6 2 3" xfId="1859" xr:uid="{00000000-0005-0000-0000-00009D540000}"/>
    <cellStyle name="Normal 18 6 2 3 2" xfId="3815" xr:uid="{00000000-0005-0000-0000-00009E540000}"/>
    <cellStyle name="Normal 18 6 2 3 2 2" xfId="8209" xr:uid="{00000000-0005-0000-0000-00009F540000}"/>
    <cellStyle name="Normal 18 6 2 3 2 2 2" xfId="17030" xr:uid="{00000000-0005-0000-0000-0000A0540000}"/>
    <cellStyle name="Normal 18 6 2 3 2 3" xfId="12623" xr:uid="{00000000-0005-0000-0000-0000A1540000}"/>
    <cellStyle name="Normal 18 6 2 3 3" xfId="6004" xr:uid="{00000000-0005-0000-0000-0000A2540000}"/>
    <cellStyle name="Normal 18 6 2 3 3 2" xfId="14825" xr:uid="{00000000-0005-0000-0000-0000A3540000}"/>
    <cellStyle name="Normal 18 6 2 3 4" xfId="10418" xr:uid="{00000000-0005-0000-0000-0000A4540000}"/>
    <cellStyle name="Normal 18 6 2 4" xfId="3078" xr:uid="{00000000-0005-0000-0000-0000A5540000}"/>
    <cellStyle name="Normal 18 6 2 4 2" xfId="7472" xr:uid="{00000000-0005-0000-0000-0000A6540000}"/>
    <cellStyle name="Normal 18 6 2 4 2 2" xfId="16293" xr:uid="{00000000-0005-0000-0000-0000A7540000}"/>
    <cellStyle name="Normal 18 6 2 4 3" xfId="11886" xr:uid="{00000000-0005-0000-0000-0000A8540000}"/>
    <cellStyle name="Normal 18 6 2 5" xfId="5267" xr:uid="{00000000-0005-0000-0000-0000A9540000}"/>
    <cellStyle name="Normal 18 6 2 5 2" xfId="14088" xr:uid="{00000000-0005-0000-0000-0000AA540000}"/>
    <cellStyle name="Normal 18 6 2 6" xfId="9681" xr:uid="{00000000-0005-0000-0000-0000AB540000}"/>
    <cellStyle name="Normal 18 6 3" xfId="2134" xr:uid="{00000000-0005-0000-0000-0000AC540000}"/>
    <cellStyle name="Normal 18 6 3 10" xfId="25111" xr:uid="{00000000-0005-0000-0000-0000AD540000}"/>
    <cellStyle name="Normal 18 6 3 11" xfId="25887" xr:uid="{00000000-0005-0000-0000-0000AE540000}"/>
    <cellStyle name="Normal 18 6 3 12" xfId="26399" xr:uid="{00000000-0005-0000-0000-0000AF540000}"/>
    <cellStyle name="Normal 18 6 3 13" xfId="25814" xr:uid="{00000000-0005-0000-0000-0000B0540000}"/>
    <cellStyle name="Normal 18 6 3 2" xfId="4170" xr:uid="{00000000-0005-0000-0000-0000B1540000}"/>
    <cellStyle name="Normal 18 6 3 2 2" xfId="8578" xr:uid="{00000000-0005-0000-0000-0000B2540000}"/>
    <cellStyle name="Normal 18 6 3 2 2 2" xfId="17399" xr:uid="{00000000-0005-0000-0000-0000B3540000}"/>
    <cellStyle name="Normal 18 6 3 2 3" xfId="12992" xr:uid="{00000000-0005-0000-0000-0000B4540000}"/>
    <cellStyle name="Normal 18 6 3 3" xfId="6373" xr:uid="{00000000-0005-0000-0000-0000B5540000}"/>
    <cellStyle name="Normal 18 6 3 3 2" xfId="15194" xr:uid="{00000000-0005-0000-0000-0000B6540000}"/>
    <cellStyle name="Normal 18 6 3 4" xfId="10787" xr:uid="{00000000-0005-0000-0000-0000B7540000}"/>
    <cellStyle name="Normal 18 6 3 5" xfId="21989" xr:uid="{00000000-0005-0000-0000-0000B8540000}"/>
    <cellStyle name="Normal 18 6 3 6" xfId="22678" xr:uid="{00000000-0005-0000-0000-0000B9540000}"/>
    <cellStyle name="Normal 18 6 3 7" xfId="20468" xr:uid="{00000000-0005-0000-0000-0000BA540000}"/>
    <cellStyle name="Normal 18 6 3 8" xfId="24098" xr:uid="{00000000-0005-0000-0000-0000BB540000}"/>
    <cellStyle name="Normal 18 6 3 9" xfId="24127" xr:uid="{00000000-0005-0000-0000-0000BC540000}"/>
    <cellStyle name="Normal 18 6 4" xfId="1504" xr:uid="{00000000-0005-0000-0000-0000BD540000}"/>
    <cellStyle name="Normal 18 6 4 2" xfId="3446" xr:uid="{00000000-0005-0000-0000-0000BE540000}"/>
    <cellStyle name="Normal 18 6 4 2 2" xfId="7840" xr:uid="{00000000-0005-0000-0000-0000BF540000}"/>
    <cellStyle name="Normal 18 6 4 2 2 2" xfId="16661" xr:uid="{00000000-0005-0000-0000-0000C0540000}"/>
    <cellStyle name="Normal 18 6 4 2 3" xfId="12254" xr:uid="{00000000-0005-0000-0000-0000C1540000}"/>
    <cellStyle name="Normal 18 6 4 3" xfId="5635" xr:uid="{00000000-0005-0000-0000-0000C2540000}"/>
    <cellStyle name="Normal 18 6 4 3 2" xfId="14456" xr:uid="{00000000-0005-0000-0000-0000C3540000}"/>
    <cellStyle name="Normal 18 6 4 4" xfId="10049" xr:uid="{00000000-0005-0000-0000-0000C4540000}"/>
    <cellStyle name="Normal 18 6 5" xfId="2710" xr:uid="{00000000-0005-0000-0000-0000C5540000}"/>
    <cellStyle name="Normal 18 6 5 2" xfId="7103" xr:uid="{00000000-0005-0000-0000-0000C6540000}"/>
    <cellStyle name="Normal 18 6 5 2 2" xfId="15924" xr:uid="{00000000-0005-0000-0000-0000C7540000}"/>
    <cellStyle name="Normal 18 6 5 3" xfId="11517" xr:uid="{00000000-0005-0000-0000-0000C8540000}"/>
    <cellStyle name="Normal 18 6 6" xfId="4898" xr:uid="{00000000-0005-0000-0000-0000C9540000}"/>
    <cellStyle name="Normal 18 6 6 2" xfId="13719" xr:uid="{00000000-0005-0000-0000-0000CA540000}"/>
    <cellStyle name="Normal 18 6 7" xfId="9312" xr:uid="{00000000-0005-0000-0000-0000CB540000}"/>
    <cellStyle name="Normal 18 7" xfId="1065" xr:uid="{00000000-0005-0000-0000-0000CC540000}"/>
    <cellStyle name="Normal 18 7 2" xfId="2263" xr:uid="{00000000-0005-0000-0000-0000CD540000}"/>
    <cellStyle name="Normal 18 7 2 10" xfId="24682" xr:uid="{00000000-0005-0000-0000-0000CE540000}"/>
    <cellStyle name="Normal 18 7 2 11" xfId="21250" xr:uid="{00000000-0005-0000-0000-0000CF540000}"/>
    <cellStyle name="Normal 18 7 2 12" xfId="26396" xr:uid="{00000000-0005-0000-0000-0000D0540000}"/>
    <cellStyle name="Normal 18 7 2 13" xfId="27041" xr:uid="{00000000-0005-0000-0000-0000D1540000}"/>
    <cellStyle name="Normal 18 7 2 2" xfId="4341" xr:uid="{00000000-0005-0000-0000-0000D2540000}"/>
    <cellStyle name="Normal 18 7 2 2 2" xfId="8762" xr:uid="{00000000-0005-0000-0000-0000D3540000}"/>
    <cellStyle name="Normal 18 7 2 2 2 2" xfId="17583" xr:uid="{00000000-0005-0000-0000-0000D4540000}"/>
    <cellStyle name="Normal 18 7 2 2 3" xfId="13176" xr:uid="{00000000-0005-0000-0000-0000D5540000}"/>
    <cellStyle name="Normal 18 7 2 3" xfId="6557" xr:uid="{00000000-0005-0000-0000-0000D6540000}"/>
    <cellStyle name="Normal 18 7 2 3 2" xfId="15378" xr:uid="{00000000-0005-0000-0000-0000D7540000}"/>
    <cellStyle name="Normal 18 7 2 4" xfId="10971" xr:uid="{00000000-0005-0000-0000-0000D8540000}"/>
    <cellStyle name="Normal 18 7 2 5" xfId="20475" xr:uid="{00000000-0005-0000-0000-0000D9540000}"/>
    <cellStyle name="Normal 18 7 2 6" xfId="20591" xr:uid="{00000000-0005-0000-0000-0000DA540000}"/>
    <cellStyle name="Normal 18 7 2 7" xfId="23390" xr:uid="{00000000-0005-0000-0000-0000DB540000}"/>
    <cellStyle name="Normal 18 7 2 8" xfId="21235" xr:uid="{00000000-0005-0000-0000-0000DC540000}"/>
    <cellStyle name="Normal 18 7 2 9" xfId="24442" xr:uid="{00000000-0005-0000-0000-0000DD540000}"/>
    <cellStyle name="Normal 18 7 3" xfId="1675" xr:uid="{00000000-0005-0000-0000-0000DE540000}"/>
    <cellStyle name="Normal 18 7 3 2" xfId="3630" xr:uid="{00000000-0005-0000-0000-0000DF540000}"/>
    <cellStyle name="Normal 18 7 3 2 2" xfId="8024" xr:uid="{00000000-0005-0000-0000-0000E0540000}"/>
    <cellStyle name="Normal 18 7 3 2 2 2" xfId="16845" xr:uid="{00000000-0005-0000-0000-0000E1540000}"/>
    <cellStyle name="Normal 18 7 3 2 3" xfId="12438" xr:uid="{00000000-0005-0000-0000-0000E2540000}"/>
    <cellStyle name="Normal 18 7 3 3" xfId="5819" xr:uid="{00000000-0005-0000-0000-0000E3540000}"/>
    <cellStyle name="Normal 18 7 3 3 2" xfId="14640" xr:uid="{00000000-0005-0000-0000-0000E4540000}"/>
    <cellStyle name="Normal 18 7 3 4" xfId="10233" xr:uid="{00000000-0005-0000-0000-0000E5540000}"/>
    <cellStyle name="Normal 18 7 4" xfId="2893" xr:uid="{00000000-0005-0000-0000-0000E6540000}"/>
    <cellStyle name="Normal 18 7 4 2" xfId="7287" xr:uid="{00000000-0005-0000-0000-0000E7540000}"/>
    <cellStyle name="Normal 18 7 4 2 2" xfId="16108" xr:uid="{00000000-0005-0000-0000-0000E8540000}"/>
    <cellStyle name="Normal 18 7 4 3" xfId="11701" xr:uid="{00000000-0005-0000-0000-0000E9540000}"/>
    <cellStyle name="Normal 18 7 5" xfId="5082" xr:uid="{00000000-0005-0000-0000-0000EA540000}"/>
    <cellStyle name="Normal 18 7 5 2" xfId="13903" xr:uid="{00000000-0005-0000-0000-0000EB540000}"/>
    <cellStyle name="Normal 18 7 6" xfId="9496" xr:uid="{00000000-0005-0000-0000-0000EC540000}"/>
    <cellStyle name="Normal 18 8" xfId="2029" xr:uid="{00000000-0005-0000-0000-0000ED540000}"/>
    <cellStyle name="Normal 18 8 10" xfId="25598" xr:uid="{00000000-0005-0000-0000-0000EE540000}"/>
    <cellStyle name="Normal 18 8 11" xfId="24358" xr:uid="{00000000-0005-0000-0000-0000EF540000}"/>
    <cellStyle name="Normal 18 8 12" xfId="26621" xr:uid="{00000000-0005-0000-0000-0000F0540000}"/>
    <cellStyle name="Normal 18 8 13" xfId="26844" xr:uid="{00000000-0005-0000-0000-0000F1540000}"/>
    <cellStyle name="Normal 18 8 2" xfId="3987" xr:uid="{00000000-0005-0000-0000-0000F2540000}"/>
    <cellStyle name="Normal 18 8 2 2" xfId="8393" xr:uid="{00000000-0005-0000-0000-0000F3540000}"/>
    <cellStyle name="Normal 18 8 2 2 2" xfId="17214" xr:uid="{00000000-0005-0000-0000-0000F4540000}"/>
    <cellStyle name="Normal 18 8 2 3" xfId="12807" xr:uid="{00000000-0005-0000-0000-0000F5540000}"/>
    <cellStyle name="Normal 18 8 3" xfId="6188" xr:uid="{00000000-0005-0000-0000-0000F6540000}"/>
    <cellStyle name="Normal 18 8 3 2" xfId="15009" xr:uid="{00000000-0005-0000-0000-0000F7540000}"/>
    <cellStyle name="Normal 18 8 4" xfId="10602" xr:uid="{00000000-0005-0000-0000-0000F8540000}"/>
    <cellStyle name="Normal 18 8 5" xfId="20963" xr:uid="{00000000-0005-0000-0000-0000F9540000}"/>
    <cellStyle name="Normal 18 8 6" xfId="21546" xr:uid="{00000000-0005-0000-0000-0000FA540000}"/>
    <cellStyle name="Normal 18 8 7" xfId="23207" xr:uid="{00000000-0005-0000-0000-0000FB540000}"/>
    <cellStyle name="Normal 18 8 8" xfId="23104" xr:uid="{00000000-0005-0000-0000-0000FC540000}"/>
    <cellStyle name="Normal 18 8 9" xfId="23638" xr:uid="{00000000-0005-0000-0000-0000FD540000}"/>
    <cellStyle name="Normal 18 9" xfId="1349" xr:uid="{00000000-0005-0000-0000-0000FE540000}"/>
    <cellStyle name="Normal 18 9 2" xfId="3249" xr:uid="{00000000-0005-0000-0000-0000FF540000}"/>
    <cellStyle name="Normal 18 9 2 2" xfId="7643" xr:uid="{00000000-0005-0000-0000-000000550000}"/>
    <cellStyle name="Normal 18 9 2 2 2" xfId="16464" xr:uid="{00000000-0005-0000-0000-000001550000}"/>
    <cellStyle name="Normal 18 9 2 3" xfId="12057" xr:uid="{00000000-0005-0000-0000-000002550000}"/>
    <cellStyle name="Normal 18 9 3" xfId="5438" xr:uid="{00000000-0005-0000-0000-000003550000}"/>
    <cellStyle name="Normal 18 9 3 2" xfId="14259" xr:uid="{00000000-0005-0000-0000-000004550000}"/>
    <cellStyle name="Normal 18 9 4" xfId="9852" xr:uid="{00000000-0005-0000-0000-000005550000}"/>
    <cellStyle name="Normal 18_Fordelinger" xfId="18239" xr:uid="{00000000-0005-0000-0000-000006550000}"/>
    <cellStyle name="Normal 180" xfId="27107" xr:uid="{00000000-0005-0000-0000-000007550000}"/>
    <cellStyle name="Normal 181" xfId="27110" xr:uid="{00000000-0005-0000-0000-000008550000}"/>
    <cellStyle name="Normal 182" xfId="27114" xr:uid="{00000000-0005-0000-0000-000009550000}"/>
    <cellStyle name="Normal 183" xfId="27116" xr:uid="{00000000-0005-0000-0000-00000A550000}"/>
    <cellStyle name="Normal 184" xfId="27113" xr:uid="{00000000-0005-0000-0000-00000B550000}"/>
    <cellStyle name="Normal 185" xfId="27121" xr:uid="{00000000-0005-0000-0000-00000C550000}"/>
    <cellStyle name="Normal 186" xfId="27112" xr:uid="{00000000-0005-0000-0000-00000D550000}"/>
    <cellStyle name="Normal 187" xfId="27120" xr:uid="{00000000-0005-0000-0000-00000E550000}"/>
    <cellStyle name="Normal 188" xfId="27101" xr:uid="{00000000-0005-0000-0000-00000F550000}"/>
    <cellStyle name="Normal 189" xfId="27125" xr:uid="{00000000-0005-0000-0000-000010550000}"/>
    <cellStyle name="Normal 19" xfId="474" xr:uid="{00000000-0005-0000-0000-000011550000}"/>
    <cellStyle name="Normal 19 10" xfId="29274" xr:uid="{00000000-0005-0000-0000-000012550000}"/>
    <cellStyle name="Normal 19 2" xfId="1265" xr:uid="{00000000-0005-0000-0000-000013550000}"/>
    <cellStyle name="Normal 19 2 2" xfId="1187" xr:uid="{00000000-0005-0000-0000-000014550000}"/>
    <cellStyle name="Normal 19 2 2 2" xfId="2458" xr:uid="{00000000-0005-0000-0000-000015550000}"/>
    <cellStyle name="Normal 19 2 2 2 10" xfId="24690" xr:uid="{00000000-0005-0000-0000-000016550000}"/>
    <cellStyle name="Normal 19 2 2 2 11" xfId="26023" xr:uid="{00000000-0005-0000-0000-000017550000}"/>
    <cellStyle name="Normal 19 2 2 2 12" xfId="25938" xr:uid="{00000000-0005-0000-0000-000018550000}"/>
    <cellStyle name="Normal 19 2 2 2 13" xfId="26752" xr:uid="{00000000-0005-0000-0000-000019550000}"/>
    <cellStyle name="Normal 19 2 2 2 2" xfId="4602" xr:uid="{00000000-0005-0000-0000-00001A550000}"/>
    <cellStyle name="Normal 19 2 2 2 2 2" xfId="9025" xr:uid="{00000000-0005-0000-0000-00001B550000}"/>
    <cellStyle name="Normal 19 2 2 2 2 2 2" xfId="17846" xr:uid="{00000000-0005-0000-0000-00001C550000}"/>
    <cellStyle name="Normal 19 2 2 2 2 3" xfId="13439" xr:uid="{00000000-0005-0000-0000-00001D550000}"/>
    <cellStyle name="Normal 19 2 2 2 3" xfId="6820" xr:uid="{00000000-0005-0000-0000-00001E550000}"/>
    <cellStyle name="Normal 19 2 2 2 3 2" xfId="15641" xr:uid="{00000000-0005-0000-0000-00001F550000}"/>
    <cellStyle name="Normal 19 2 2 2 4" xfId="11234" xr:uid="{00000000-0005-0000-0000-000020550000}"/>
    <cellStyle name="Normal 19 2 2 2 5" xfId="21823" xr:uid="{00000000-0005-0000-0000-000021550000}"/>
    <cellStyle name="Normal 19 2 2 2 6" xfId="22508" xr:uid="{00000000-0005-0000-0000-000022550000}"/>
    <cellStyle name="Normal 19 2 2 2 7" xfId="23208" xr:uid="{00000000-0005-0000-0000-000023550000}"/>
    <cellStyle name="Normal 19 2 2 2 8" xfId="23927" xr:uid="{00000000-0005-0000-0000-000024550000}"/>
    <cellStyle name="Normal 19 2 2 2 9" xfId="24958" xr:uid="{00000000-0005-0000-0000-000025550000}"/>
    <cellStyle name="Normal 19 2 2 3" xfId="1936" xr:uid="{00000000-0005-0000-0000-000026550000}"/>
    <cellStyle name="Normal 19 2 2 3 2" xfId="3893" xr:uid="{00000000-0005-0000-0000-000027550000}"/>
    <cellStyle name="Normal 19 2 2 3 2 2" xfId="8287" xr:uid="{00000000-0005-0000-0000-000028550000}"/>
    <cellStyle name="Normal 19 2 2 3 2 2 2" xfId="17108" xr:uid="{00000000-0005-0000-0000-000029550000}"/>
    <cellStyle name="Normal 19 2 2 3 2 3" xfId="12701" xr:uid="{00000000-0005-0000-0000-00002A550000}"/>
    <cellStyle name="Normal 19 2 2 3 3" xfId="6082" xr:uid="{00000000-0005-0000-0000-00002B550000}"/>
    <cellStyle name="Normal 19 2 2 3 3 2" xfId="14903" xr:uid="{00000000-0005-0000-0000-00002C550000}"/>
    <cellStyle name="Normal 19 2 2 3 4" xfId="10496" xr:uid="{00000000-0005-0000-0000-00002D550000}"/>
    <cellStyle name="Normal 19 2 2 4" xfId="3156" xr:uid="{00000000-0005-0000-0000-00002E550000}"/>
    <cellStyle name="Normal 19 2 2 4 2" xfId="7550" xr:uid="{00000000-0005-0000-0000-00002F550000}"/>
    <cellStyle name="Normal 19 2 2 4 2 2" xfId="16371" xr:uid="{00000000-0005-0000-0000-000030550000}"/>
    <cellStyle name="Normal 19 2 2 4 3" xfId="11964" xr:uid="{00000000-0005-0000-0000-000031550000}"/>
    <cellStyle name="Normal 19 2 2 5" xfId="5345" xr:uid="{00000000-0005-0000-0000-000032550000}"/>
    <cellStyle name="Normal 19 2 2 5 2" xfId="14166" xr:uid="{00000000-0005-0000-0000-000033550000}"/>
    <cellStyle name="Normal 19 2 2 6" xfId="9759" xr:uid="{00000000-0005-0000-0000-000034550000}"/>
    <cellStyle name="Normal 19 2 3" xfId="2197" xr:uid="{00000000-0005-0000-0000-000035550000}"/>
    <cellStyle name="Normal 19 2 3 10" xfId="25280" xr:uid="{00000000-0005-0000-0000-000036550000}"/>
    <cellStyle name="Normal 19 2 3 11" xfId="25143" xr:uid="{00000000-0005-0000-0000-000037550000}"/>
    <cellStyle name="Normal 19 2 3 12" xfId="25799" xr:uid="{00000000-0005-0000-0000-000038550000}"/>
    <cellStyle name="Normal 19 2 3 13" xfId="26434" xr:uid="{00000000-0005-0000-0000-000039550000}"/>
    <cellStyle name="Normal 19 2 3 2" xfId="4247" xr:uid="{00000000-0005-0000-0000-00003A550000}"/>
    <cellStyle name="Normal 19 2 3 2 2" xfId="8656" xr:uid="{00000000-0005-0000-0000-00003B550000}"/>
    <cellStyle name="Normal 19 2 3 2 2 2" xfId="17477" xr:uid="{00000000-0005-0000-0000-00003C550000}"/>
    <cellStyle name="Normal 19 2 3 2 3" xfId="13070" xr:uid="{00000000-0005-0000-0000-00003D550000}"/>
    <cellStyle name="Normal 19 2 3 3" xfId="6451" xr:uid="{00000000-0005-0000-0000-00003E550000}"/>
    <cellStyle name="Normal 19 2 3 3 2" xfId="15272" xr:uid="{00000000-0005-0000-0000-00003F550000}"/>
    <cellStyle name="Normal 19 2 3 4" xfId="10865" xr:uid="{00000000-0005-0000-0000-000040550000}"/>
    <cellStyle name="Normal 19 2 3 5" xfId="21990" xr:uid="{00000000-0005-0000-0000-000041550000}"/>
    <cellStyle name="Normal 19 2 3 6" xfId="22679" xr:uid="{00000000-0005-0000-0000-000042550000}"/>
    <cellStyle name="Normal 19 2 3 7" xfId="22758" xr:uid="{00000000-0005-0000-0000-000043550000}"/>
    <cellStyle name="Normal 19 2 3 8" xfId="24099" xr:uid="{00000000-0005-0000-0000-000044550000}"/>
    <cellStyle name="Normal 19 2 3 9" xfId="23824" xr:uid="{00000000-0005-0000-0000-000045550000}"/>
    <cellStyle name="Normal 19 2 4" xfId="1581" xr:uid="{00000000-0005-0000-0000-000046550000}"/>
    <cellStyle name="Normal 19 2 4 2" xfId="3524" xr:uid="{00000000-0005-0000-0000-000047550000}"/>
    <cellStyle name="Normal 19 2 4 2 2" xfId="7918" xr:uid="{00000000-0005-0000-0000-000048550000}"/>
    <cellStyle name="Normal 19 2 4 2 2 2" xfId="16739" xr:uid="{00000000-0005-0000-0000-000049550000}"/>
    <cellStyle name="Normal 19 2 4 2 3" xfId="12332" xr:uid="{00000000-0005-0000-0000-00004A550000}"/>
    <cellStyle name="Normal 19 2 4 3" xfId="5713" xr:uid="{00000000-0005-0000-0000-00004B550000}"/>
    <cellStyle name="Normal 19 2 4 3 2" xfId="14534" xr:uid="{00000000-0005-0000-0000-00004C550000}"/>
    <cellStyle name="Normal 19 2 4 4" xfId="10127" xr:uid="{00000000-0005-0000-0000-00004D550000}"/>
    <cellStyle name="Normal 19 2 5" xfId="2787" xr:uid="{00000000-0005-0000-0000-00004E550000}"/>
    <cellStyle name="Normal 19 2 5 2" xfId="7181" xr:uid="{00000000-0005-0000-0000-00004F550000}"/>
    <cellStyle name="Normal 19 2 5 2 2" xfId="16002" xr:uid="{00000000-0005-0000-0000-000050550000}"/>
    <cellStyle name="Normal 19 2 5 3" xfId="11595" xr:uid="{00000000-0005-0000-0000-000051550000}"/>
    <cellStyle name="Normal 19 2 6" xfId="4976" xr:uid="{00000000-0005-0000-0000-000052550000}"/>
    <cellStyle name="Normal 19 2 6 2" xfId="13797" xr:uid="{00000000-0005-0000-0000-000053550000}"/>
    <cellStyle name="Normal 19 2 7" xfId="9390" xr:uid="{00000000-0005-0000-0000-000054550000}"/>
    <cellStyle name="Normal 19 3" xfId="1283" xr:uid="{00000000-0005-0000-0000-000055550000}"/>
    <cellStyle name="Normal 19 3 2" xfId="2327" xr:uid="{00000000-0005-0000-0000-000056550000}"/>
    <cellStyle name="Normal 19 3 2 10" xfId="25279" xr:uid="{00000000-0005-0000-0000-000057550000}"/>
    <cellStyle name="Normal 19 3 2 11" xfId="25872" xr:uid="{00000000-0005-0000-0000-000058550000}"/>
    <cellStyle name="Normal 19 3 2 12" xfId="25626" xr:uid="{00000000-0005-0000-0000-000059550000}"/>
    <cellStyle name="Normal 19 3 2 13" xfId="26943" xr:uid="{00000000-0005-0000-0000-00005A550000}"/>
    <cellStyle name="Normal 19 3 2 2" xfId="4418" xr:uid="{00000000-0005-0000-0000-00005B550000}"/>
    <cellStyle name="Normal 19 3 2 2 2" xfId="8840" xr:uid="{00000000-0005-0000-0000-00005C550000}"/>
    <cellStyle name="Normal 19 3 2 2 2 2" xfId="17661" xr:uid="{00000000-0005-0000-0000-00005D550000}"/>
    <cellStyle name="Normal 19 3 2 2 3" xfId="13254" xr:uid="{00000000-0005-0000-0000-00005E550000}"/>
    <cellStyle name="Normal 19 3 2 3" xfId="6635" xr:uid="{00000000-0005-0000-0000-00005F550000}"/>
    <cellStyle name="Normal 19 3 2 3 2" xfId="15456" xr:uid="{00000000-0005-0000-0000-000060550000}"/>
    <cellStyle name="Normal 19 3 2 4" xfId="11049" xr:uid="{00000000-0005-0000-0000-000061550000}"/>
    <cellStyle name="Normal 19 3 2 5" xfId="21410" xr:uid="{00000000-0005-0000-0000-000062550000}"/>
    <cellStyle name="Normal 19 3 2 6" xfId="22070" xr:uid="{00000000-0005-0000-0000-000063550000}"/>
    <cellStyle name="Normal 19 3 2 7" xfId="23575" xr:uid="{00000000-0005-0000-0000-000064550000}"/>
    <cellStyle name="Normal 19 3 2 8" xfId="22601" xr:uid="{00000000-0005-0000-0000-000065550000}"/>
    <cellStyle name="Normal 19 3 2 9" xfId="24439" xr:uid="{00000000-0005-0000-0000-000066550000}"/>
    <cellStyle name="Normal 19 3 3" xfId="1752" xr:uid="{00000000-0005-0000-0000-000067550000}"/>
    <cellStyle name="Normal 19 3 3 2" xfId="3708" xr:uid="{00000000-0005-0000-0000-000068550000}"/>
    <cellStyle name="Normal 19 3 3 2 2" xfId="8102" xr:uid="{00000000-0005-0000-0000-000069550000}"/>
    <cellStyle name="Normal 19 3 3 2 2 2" xfId="16923" xr:uid="{00000000-0005-0000-0000-00006A550000}"/>
    <cellStyle name="Normal 19 3 3 2 3" xfId="12516" xr:uid="{00000000-0005-0000-0000-00006B550000}"/>
    <cellStyle name="Normal 19 3 3 3" xfId="5897" xr:uid="{00000000-0005-0000-0000-00006C550000}"/>
    <cellStyle name="Normal 19 3 3 3 2" xfId="14718" xr:uid="{00000000-0005-0000-0000-00006D550000}"/>
    <cellStyle name="Normal 19 3 3 4" xfId="10311" xr:uid="{00000000-0005-0000-0000-00006E550000}"/>
    <cellStyle name="Normal 19 3 4" xfId="2971" xr:uid="{00000000-0005-0000-0000-00006F550000}"/>
    <cellStyle name="Normal 19 3 4 2" xfId="7365" xr:uid="{00000000-0005-0000-0000-000070550000}"/>
    <cellStyle name="Normal 19 3 4 2 2" xfId="16186" xr:uid="{00000000-0005-0000-0000-000071550000}"/>
    <cellStyle name="Normal 19 3 4 3" xfId="11779" xr:uid="{00000000-0005-0000-0000-000072550000}"/>
    <cellStyle name="Normal 19 3 5" xfId="5160" xr:uid="{00000000-0005-0000-0000-000073550000}"/>
    <cellStyle name="Normal 19 3 5 2" xfId="13981" xr:uid="{00000000-0005-0000-0000-000074550000}"/>
    <cellStyle name="Normal 19 3 6" xfId="9574" xr:uid="{00000000-0005-0000-0000-000075550000}"/>
    <cellStyle name="Normal 19 4" xfId="2066" xr:uid="{00000000-0005-0000-0000-000076550000}"/>
    <cellStyle name="Normal 19 4 10" xfId="25435" xr:uid="{00000000-0005-0000-0000-000077550000}"/>
    <cellStyle name="Normal 19 4 11" xfId="25338" xr:uid="{00000000-0005-0000-0000-000078550000}"/>
    <cellStyle name="Normal 19 4 12" xfId="26625" xr:uid="{00000000-0005-0000-0000-000079550000}"/>
    <cellStyle name="Normal 19 4 13" xfId="26848" xr:uid="{00000000-0005-0000-0000-00007A550000}"/>
    <cellStyle name="Normal 19 4 2" xfId="4063" xr:uid="{00000000-0005-0000-0000-00007B550000}"/>
    <cellStyle name="Normal 19 4 2 2" xfId="8471" xr:uid="{00000000-0005-0000-0000-00007C550000}"/>
    <cellStyle name="Normal 19 4 2 2 2" xfId="17292" xr:uid="{00000000-0005-0000-0000-00007D550000}"/>
    <cellStyle name="Normal 19 4 2 3" xfId="12885" xr:uid="{00000000-0005-0000-0000-00007E550000}"/>
    <cellStyle name="Normal 19 4 3" xfId="6266" xr:uid="{00000000-0005-0000-0000-00007F550000}"/>
    <cellStyle name="Normal 19 4 3 2" xfId="15087" xr:uid="{00000000-0005-0000-0000-000080550000}"/>
    <cellStyle name="Normal 19 4 4" xfId="10680" xr:uid="{00000000-0005-0000-0000-000081550000}"/>
    <cellStyle name="Normal 19 4 5" xfId="19151" xr:uid="{00000000-0005-0000-0000-000082550000}"/>
    <cellStyle name="Normal 19 4 6" xfId="19097" xr:uid="{00000000-0005-0000-0000-000083550000}"/>
    <cellStyle name="Normal 19 4 7" xfId="23210" xr:uid="{00000000-0005-0000-0000-000084550000}"/>
    <cellStyle name="Normal 19 4 8" xfId="23417" xr:uid="{00000000-0005-0000-0000-000085550000}"/>
    <cellStyle name="Normal 19 4 9" xfId="24783" xr:uid="{00000000-0005-0000-0000-000086550000}"/>
    <cellStyle name="Normal 19 5" xfId="1424" xr:uid="{00000000-0005-0000-0000-000087550000}"/>
    <cellStyle name="Normal 19 5 2" xfId="3339" xr:uid="{00000000-0005-0000-0000-000088550000}"/>
    <cellStyle name="Normal 19 5 2 2" xfId="7733" xr:uid="{00000000-0005-0000-0000-000089550000}"/>
    <cellStyle name="Normal 19 5 2 2 2" xfId="16554" xr:uid="{00000000-0005-0000-0000-00008A550000}"/>
    <cellStyle name="Normal 19 5 2 3" xfId="12147" xr:uid="{00000000-0005-0000-0000-00008B550000}"/>
    <cellStyle name="Normal 19 5 3" xfId="5528" xr:uid="{00000000-0005-0000-0000-00008C550000}"/>
    <cellStyle name="Normal 19 5 3 2" xfId="14349" xr:uid="{00000000-0005-0000-0000-00008D550000}"/>
    <cellStyle name="Normal 19 5 4" xfId="9942" xr:uid="{00000000-0005-0000-0000-00008E550000}"/>
    <cellStyle name="Normal 19 6" xfId="2603" xr:uid="{00000000-0005-0000-0000-00008F550000}"/>
    <cellStyle name="Normal 19 6 2" xfId="6996" xr:uid="{00000000-0005-0000-0000-000090550000}"/>
    <cellStyle name="Normal 19 6 2 2" xfId="15817" xr:uid="{00000000-0005-0000-0000-000091550000}"/>
    <cellStyle name="Normal 19 6 3" xfId="11410" xr:uid="{00000000-0005-0000-0000-000092550000}"/>
    <cellStyle name="Normal 19 7" xfId="4791" xr:uid="{00000000-0005-0000-0000-000093550000}"/>
    <cellStyle name="Normal 19 7 2" xfId="13612" xr:uid="{00000000-0005-0000-0000-000094550000}"/>
    <cellStyle name="Normal 19 8" xfId="9205" xr:uid="{00000000-0005-0000-0000-000095550000}"/>
    <cellStyle name="Normal 19 9" xfId="28352" xr:uid="{00000000-0005-0000-0000-000096550000}"/>
    <cellStyle name="Normal 190" xfId="27108" xr:uid="{00000000-0005-0000-0000-000097550000}"/>
    <cellStyle name="Normal 191" xfId="27103" xr:uid="{00000000-0005-0000-0000-000098550000}"/>
    <cellStyle name="Normal 192" xfId="27122" xr:uid="{00000000-0005-0000-0000-000099550000}"/>
    <cellStyle name="Normal 193" xfId="24011" xr:uid="{00000000-0005-0000-0000-00009A550000}"/>
    <cellStyle name="Normal 194" xfId="21559" xr:uid="{00000000-0005-0000-0000-00009B550000}"/>
    <cellStyle name="Normal 195" xfId="26875" xr:uid="{00000000-0005-0000-0000-00009C550000}"/>
    <cellStyle name="Normal 196" xfId="26443" xr:uid="{00000000-0005-0000-0000-00009D550000}"/>
    <cellStyle name="Normal 197" xfId="25529" xr:uid="{00000000-0005-0000-0000-00009E550000}"/>
    <cellStyle name="Normal 198" xfId="27137" xr:uid="{00000000-0005-0000-0000-00009F550000}"/>
    <cellStyle name="Normal 199" xfId="27165" xr:uid="{00000000-0005-0000-0000-0000A0550000}"/>
    <cellStyle name="Normal 2" xfId="45" xr:uid="{00000000-0005-0000-0000-0000A1550000}"/>
    <cellStyle name="Normal 2 10" xfId="18089" xr:uid="{00000000-0005-0000-0000-0000A2550000}"/>
    <cellStyle name="Normal 2 11" xfId="18090" xr:uid="{00000000-0005-0000-0000-0000A3550000}"/>
    <cellStyle name="Normal 2 12" xfId="18091" xr:uid="{00000000-0005-0000-0000-0000A4550000}"/>
    <cellStyle name="Normal 2 13" xfId="18092" xr:uid="{00000000-0005-0000-0000-0000A5550000}"/>
    <cellStyle name="Normal 2 14" xfId="18093" xr:uid="{00000000-0005-0000-0000-0000A6550000}"/>
    <cellStyle name="Normal 2 15" xfId="18094" xr:uid="{00000000-0005-0000-0000-0000A7550000}"/>
    <cellStyle name="Normal 2 16" xfId="18095" xr:uid="{00000000-0005-0000-0000-0000A8550000}"/>
    <cellStyle name="Normal 2 16 2" xfId="18096" xr:uid="{00000000-0005-0000-0000-0000A9550000}"/>
    <cellStyle name="Normal 2 16 2 2" xfId="18097" xr:uid="{00000000-0005-0000-0000-0000AA550000}"/>
    <cellStyle name="Normal 2 16 2 3" xfId="18098" xr:uid="{00000000-0005-0000-0000-0000AB550000}"/>
    <cellStyle name="Normal 2 16 3" xfId="18099" xr:uid="{00000000-0005-0000-0000-0000AC550000}"/>
    <cellStyle name="Normal 2 16 4" xfId="18200" xr:uid="{00000000-0005-0000-0000-0000AD550000}"/>
    <cellStyle name="Normal 2 16 4 2" xfId="18205" xr:uid="{00000000-0005-0000-0000-0000AE550000}"/>
    <cellStyle name="Normal 2 16 4_Fordelinger" xfId="18621" xr:uid="{00000000-0005-0000-0000-0000AF550000}"/>
    <cellStyle name="Normal 2 16 5" xfId="18240" xr:uid="{00000000-0005-0000-0000-0000B0550000}"/>
    <cellStyle name="Normal 2 16 5 2" xfId="18241" xr:uid="{00000000-0005-0000-0000-0000B1550000}"/>
    <cellStyle name="Normal 2 16 5_Fordelinger" xfId="18622" xr:uid="{00000000-0005-0000-0000-0000B2550000}"/>
    <cellStyle name="Normal 2 16 6" xfId="18242" xr:uid="{00000000-0005-0000-0000-0000B3550000}"/>
    <cellStyle name="Normal 2 16 6 2" xfId="18243" xr:uid="{00000000-0005-0000-0000-0000B4550000}"/>
    <cellStyle name="Normal 2 16 7" xfId="18244" xr:uid="{00000000-0005-0000-0000-0000B5550000}"/>
    <cellStyle name="Normal 2 16 7 2" xfId="18245" xr:uid="{00000000-0005-0000-0000-0000B6550000}"/>
    <cellStyle name="Normal 2 16 8" xfId="18246" xr:uid="{00000000-0005-0000-0000-0000B7550000}"/>
    <cellStyle name="Normal 2 16 8 2" xfId="18247" xr:uid="{00000000-0005-0000-0000-0000B8550000}"/>
    <cellStyle name="Normal 2 16 9" xfId="18294" xr:uid="{00000000-0005-0000-0000-0000B9550000}"/>
    <cellStyle name="Normal 2 16 9 2" xfId="18324" xr:uid="{00000000-0005-0000-0000-0000BA550000}"/>
    <cellStyle name="Normal 2 16_Fordelinger" xfId="18623" xr:uid="{00000000-0005-0000-0000-0000BB550000}"/>
    <cellStyle name="Normal 2 17" xfId="18100" xr:uid="{00000000-0005-0000-0000-0000BC550000}"/>
    <cellStyle name="Normal 2 18" xfId="18101" xr:uid="{00000000-0005-0000-0000-0000BD550000}"/>
    <cellStyle name="Normal 2 19" xfId="18102" xr:uid="{00000000-0005-0000-0000-0000BE550000}"/>
    <cellStyle name="Normal 2 2" xfId="46" xr:uid="{00000000-0005-0000-0000-0000BF550000}"/>
    <cellStyle name="Normal 2 2 2" xfId="65" xr:uid="{00000000-0005-0000-0000-0000C0550000}"/>
    <cellStyle name="Normal 2 2 2 2" xfId="18009" xr:uid="{00000000-0005-0000-0000-0000C1550000}"/>
    <cellStyle name="Normal 2 2 2 2 2" xfId="27231" xr:uid="{00000000-0005-0000-0000-0000C2550000}"/>
    <cellStyle name="Normal 2 2 2 3" xfId="18168" xr:uid="{00000000-0005-0000-0000-0000C3550000}"/>
    <cellStyle name="Normal 2 2 3" xfId="18103" xr:uid="{00000000-0005-0000-0000-0000C4550000}"/>
    <cellStyle name="Normal 2 2 4" xfId="18061" xr:uid="{00000000-0005-0000-0000-0000C5550000}"/>
    <cellStyle name="Normal 2 20" xfId="18104" xr:uid="{00000000-0005-0000-0000-0000C6550000}"/>
    <cellStyle name="Normal 2 21" xfId="18248" xr:uid="{00000000-0005-0000-0000-0000C7550000}"/>
    <cellStyle name="Normal 2 22" xfId="18272" xr:uid="{00000000-0005-0000-0000-0000C8550000}"/>
    <cellStyle name="Normal 2 22 2" xfId="18330" xr:uid="{00000000-0005-0000-0000-0000C9550000}"/>
    <cellStyle name="Normal 2 22 3" xfId="18610" xr:uid="{00000000-0005-0000-0000-0000CA550000}"/>
    <cellStyle name="Normal 2 22 3 2" xfId="18611" xr:uid="{00000000-0005-0000-0000-0000CB550000}"/>
    <cellStyle name="Normal 2 23" xfId="18326" xr:uid="{00000000-0005-0000-0000-0000CC550000}"/>
    <cellStyle name="Normal 2 24" xfId="18368" xr:uid="{00000000-0005-0000-0000-0000CD550000}"/>
    <cellStyle name="Normal 2 24 2" xfId="18484" xr:uid="{00000000-0005-0000-0000-0000CE550000}"/>
    <cellStyle name="Normal 2 25" xfId="18620" xr:uid="{00000000-0005-0000-0000-0000CF550000}"/>
    <cellStyle name="Normal 2 3" xfId="1077" xr:uid="{00000000-0005-0000-0000-0000D0550000}"/>
    <cellStyle name="Normal 2 3 2" xfId="27258" xr:uid="{00000000-0005-0000-0000-0000D1550000}"/>
    <cellStyle name="Normal 2 4" xfId="4718" xr:uid="{00000000-0005-0000-0000-0000D2550000}"/>
    <cellStyle name="Normal 2 4 2" xfId="18105" xr:uid="{00000000-0005-0000-0000-0000D3550000}"/>
    <cellStyle name="Normal 2 5" xfId="18106" xr:uid="{00000000-0005-0000-0000-0000D4550000}"/>
    <cellStyle name="Normal 2 6" xfId="18107" xr:uid="{00000000-0005-0000-0000-0000D5550000}"/>
    <cellStyle name="Normal 2 7" xfId="18108" xr:uid="{00000000-0005-0000-0000-0000D6550000}"/>
    <cellStyle name="Normal 2 8" xfId="18109" xr:uid="{00000000-0005-0000-0000-0000D7550000}"/>
    <cellStyle name="Normal 2 9" xfId="18110" xr:uid="{00000000-0005-0000-0000-0000D8550000}"/>
    <cellStyle name="Normal 2_AFERSOF" xfId="18111" xr:uid="{00000000-0005-0000-0000-0000D9550000}"/>
    <cellStyle name="Normal 20" xfId="563" xr:uid="{00000000-0005-0000-0000-0000DA550000}"/>
    <cellStyle name="Normal 20 2" xfId="1127" xr:uid="{00000000-0005-0000-0000-0000DB550000}"/>
    <cellStyle name="Normal 20 2 2" xfId="18506" xr:uid="{00000000-0005-0000-0000-0000DC550000}"/>
    <cellStyle name="Normal 20 2 2 2" xfId="18677" xr:uid="{00000000-0005-0000-0000-0000DD550000}"/>
    <cellStyle name="Normal 20 2 2 2 10" xfId="21145" xr:uid="{00000000-0005-0000-0000-0000DE550000}"/>
    <cellStyle name="Normal 20 2 2 2 11" xfId="26022" xr:uid="{00000000-0005-0000-0000-0000DF550000}"/>
    <cellStyle name="Normal 20 2 2 2 12" xfId="26512" xr:uid="{00000000-0005-0000-0000-0000E0550000}"/>
    <cellStyle name="Normal 20 2 2 2 13" xfId="25793" xr:uid="{00000000-0005-0000-0000-0000E1550000}"/>
    <cellStyle name="Normal 20 2 2 2 2" xfId="20190" xr:uid="{00000000-0005-0000-0000-0000E2550000}"/>
    <cellStyle name="Normal 20 2 2 2 3" xfId="19773" xr:uid="{00000000-0005-0000-0000-0000E3550000}"/>
    <cellStyle name="Normal 20 2 2 2 4" xfId="19647" xr:uid="{00000000-0005-0000-0000-0000E4550000}"/>
    <cellStyle name="Normal 20 2 2 2 5" xfId="21118" xr:uid="{00000000-0005-0000-0000-0000E5550000}"/>
    <cellStyle name="Normal 20 2 2 2 6" xfId="21726" xr:uid="{00000000-0005-0000-0000-0000E6550000}"/>
    <cellStyle name="Normal 20 2 2 2 7" xfId="22707" xr:uid="{00000000-0005-0000-0000-0000E7550000}"/>
    <cellStyle name="Normal 20 2 2 2 8" xfId="21132" xr:uid="{00000000-0005-0000-0000-0000E8550000}"/>
    <cellStyle name="Normal 20 2 2 2 9" xfId="24784" xr:uid="{00000000-0005-0000-0000-0000E9550000}"/>
    <cellStyle name="Normal 20 2 2 3" xfId="19617" xr:uid="{00000000-0005-0000-0000-0000EA550000}"/>
    <cellStyle name="Normal 20 2 3" xfId="18676" xr:uid="{00000000-0005-0000-0000-0000EB550000}"/>
    <cellStyle name="Normal 20 2 3 10" xfId="20055" xr:uid="{00000000-0005-0000-0000-0000EC550000}"/>
    <cellStyle name="Normal 20 2 3 11" xfId="25738" xr:uid="{00000000-0005-0000-0000-0000ED550000}"/>
    <cellStyle name="Normal 20 2 3 12" xfId="26286" xr:uid="{00000000-0005-0000-0000-0000EE550000}"/>
    <cellStyle name="Normal 20 2 3 13" xfId="25329" xr:uid="{00000000-0005-0000-0000-0000EF550000}"/>
    <cellStyle name="Normal 20 2 3 2" xfId="20189" xr:uid="{00000000-0005-0000-0000-0000F0550000}"/>
    <cellStyle name="Normal 20 2 3 3" xfId="20767" xr:uid="{00000000-0005-0000-0000-0000F1550000}"/>
    <cellStyle name="Normal 20 2 3 4" xfId="21482" xr:uid="{00000000-0005-0000-0000-0000F2550000}"/>
    <cellStyle name="Normal 20 2 3 5" xfId="22167" xr:uid="{00000000-0005-0000-0000-0000F3550000}"/>
    <cellStyle name="Normal 20 2 3 6" xfId="22853" xr:uid="{00000000-0005-0000-0000-0000F4550000}"/>
    <cellStyle name="Normal 20 2 3 7" xfId="21422" xr:uid="{00000000-0005-0000-0000-0000F5550000}"/>
    <cellStyle name="Normal 20 2 3 8" xfId="24280" xr:uid="{00000000-0005-0000-0000-0000F6550000}"/>
    <cellStyle name="Normal 20 2 3 9" xfId="22754" xr:uid="{00000000-0005-0000-0000-0000F7550000}"/>
    <cellStyle name="Normal 20 2 4" xfId="19288" xr:uid="{00000000-0005-0000-0000-0000F8550000}"/>
    <cellStyle name="Normal 20 2 5" xfId="18369" xr:uid="{00000000-0005-0000-0000-0000F9550000}"/>
    <cellStyle name="Normal 20 3" xfId="18505" xr:uid="{00000000-0005-0000-0000-0000FA550000}"/>
    <cellStyle name="Normal 20 3 2" xfId="18678" xr:uid="{00000000-0005-0000-0000-0000FB550000}"/>
    <cellStyle name="Normal 20 3 2 10" xfId="22596" xr:uid="{00000000-0005-0000-0000-0000FC550000}"/>
    <cellStyle name="Normal 20 3 2 11" xfId="24492" xr:uid="{00000000-0005-0000-0000-0000FD550000}"/>
    <cellStyle name="Normal 20 3 2 12" xfId="25160" xr:uid="{00000000-0005-0000-0000-0000FE550000}"/>
    <cellStyle name="Normal 20 3 2 13" xfId="26944" xr:uid="{00000000-0005-0000-0000-0000FF550000}"/>
    <cellStyle name="Normal 20 3 2 2" xfId="20191" xr:uid="{00000000-0005-0000-0000-000000560000}"/>
    <cellStyle name="Normal 20 3 2 3" xfId="20899" xr:uid="{00000000-0005-0000-0000-000001560000}"/>
    <cellStyle name="Normal 20 3 2 4" xfId="19080" xr:uid="{00000000-0005-0000-0000-000002560000}"/>
    <cellStyle name="Normal 20 3 2 5" xfId="20726" xr:uid="{00000000-0005-0000-0000-000003560000}"/>
    <cellStyle name="Normal 20 3 2 6" xfId="20715" xr:uid="{00000000-0005-0000-0000-000004560000}"/>
    <cellStyle name="Normal 20 3 2 7" xfId="22737" xr:uid="{00000000-0005-0000-0000-000005560000}"/>
    <cellStyle name="Normal 20 3 2 8" xfId="23472" xr:uid="{00000000-0005-0000-0000-000006560000}"/>
    <cellStyle name="Normal 20 3 2 9" xfId="24618" xr:uid="{00000000-0005-0000-0000-000007560000}"/>
    <cellStyle name="Normal 20 3 3" xfId="19289" xr:uid="{00000000-0005-0000-0000-000008560000}"/>
    <cellStyle name="Normal 20 4" xfId="18675" xr:uid="{00000000-0005-0000-0000-000009560000}"/>
    <cellStyle name="Normal 20 4 10" xfId="25601" xr:uid="{00000000-0005-0000-0000-00000A560000}"/>
    <cellStyle name="Normal 20 4 11" xfId="25346" xr:uid="{00000000-0005-0000-0000-00000B560000}"/>
    <cellStyle name="Normal 20 4 12" xfId="22213" xr:uid="{00000000-0005-0000-0000-00000C560000}"/>
    <cellStyle name="Normal 20 4 13" xfId="26442" xr:uid="{00000000-0005-0000-0000-00000D560000}"/>
    <cellStyle name="Normal 20 4 2" xfId="20188" xr:uid="{00000000-0005-0000-0000-00000E560000}"/>
    <cellStyle name="Normal 20 4 3" xfId="20513" xr:uid="{00000000-0005-0000-0000-00000F560000}"/>
    <cellStyle name="Normal 20 4 4" xfId="21191" xr:uid="{00000000-0005-0000-0000-000010560000}"/>
    <cellStyle name="Normal 20 4 5" xfId="21821" xr:uid="{00000000-0005-0000-0000-000011560000}"/>
    <cellStyle name="Normal 20 4 6" xfId="22506" xr:uid="{00000000-0005-0000-0000-000012560000}"/>
    <cellStyle name="Normal 20 4 7" xfId="22407" xr:uid="{00000000-0005-0000-0000-000013560000}"/>
    <cellStyle name="Normal 20 4 8" xfId="23924" xr:uid="{00000000-0005-0000-0000-000014560000}"/>
    <cellStyle name="Normal 20 4 9" xfId="23995" xr:uid="{00000000-0005-0000-0000-000015560000}"/>
    <cellStyle name="Normal 20 5" xfId="19418" xr:uid="{00000000-0005-0000-0000-000016560000}"/>
    <cellStyle name="Normal 20 6" xfId="28353" xr:uid="{00000000-0005-0000-0000-000017560000}"/>
    <cellStyle name="Normal 20 7" xfId="29275" xr:uid="{00000000-0005-0000-0000-000018560000}"/>
    <cellStyle name="Normal 200" xfId="27178" xr:uid="{00000000-0005-0000-0000-000019560000}"/>
    <cellStyle name="Normal 201" xfId="27183" xr:uid="{00000000-0005-0000-0000-00001A560000}"/>
    <cellStyle name="Normal 202" xfId="17964" xr:uid="{00000000-0005-0000-0000-00001B560000}"/>
    <cellStyle name="Normal 203" xfId="27561" xr:uid="{00000000-0005-0000-0000-00001C560000}"/>
    <cellStyle name="Normal 204" xfId="28470" xr:uid="{00000000-0005-0000-0000-00001D560000}"/>
    <cellStyle name="Normal 205" xfId="28472" xr:uid="{00000000-0005-0000-0000-00001E560000}"/>
    <cellStyle name="Normal 206" xfId="28467" xr:uid="{00000000-0005-0000-0000-00001F560000}"/>
    <cellStyle name="Normal 207" xfId="28473" xr:uid="{00000000-0005-0000-0000-000020560000}"/>
    <cellStyle name="Normal 208" xfId="28475" xr:uid="{00000000-0005-0000-0000-000021560000}"/>
    <cellStyle name="Normal 209" xfId="28476" xr:uid="{00000000-0005-0000-0000-000022560000}"/>
    <cellStyle name="Normal 21" xfId="268" xr:uid="{00000000-0005-0000-0000-000023560000}"/>
    <cellStyle name="Normal 21 2" xfId="18370" xr:uid="{00000000-0005-0000-0000-000024560000}"/>
    <cellStyle name="Normal 21 2 2" xfId="18508" xr:uid="{00000000-0005-0000-0000-000025560000}"/>
    <cellStyle name="Normal 21 2 2 2" xfId="18681" xr:uid="{00000000-0005-0000-0000-000026560000}"/>
    <cellStyle name="Normal 21 2 2 2 10" xfId="24013" xr:uid="{00000000-0005-0000-0000-000027560000}"/>
    <cellStyle name="Normal 21 2 2 2 11" xfId="24890" xr:uid="{00000000-0005-0000-0000-000028560000}"/>
    <cellStyle name="Normal 21 2 2 2 12" xfId="25354" xr:uid="{00000000-0005-0000-0000-000029560000}"/>
    <cellStyle name="Normal 21 2 2 2 13" xfId="26847" xr:uid="{00000000-0005-0000-0000-00002A560000}"/>
    <cellStyle name="Normal 21 2 2 2 2" xfId="20194" xr:uid="{00000000-0005-0000-0000-00002B560000}"/>
    <cellStyle name="Normal 21 2 2 2 3" xfId="19771" xr:uid="{00000000-0005-0000-0000-00002C560000}"/>
    <cellStyle name="Normal 21 2 2 2 4" xfId="21040" xr:uid="{00000000-0005-0000-0000-00002D560000}"/>
    <cellStyle name="Normal 21 2 2 2 5" xfId="21650" xr:uid="{00000000-0005-0000-0000-00002E560000}"/>
    <cellStyle name="Normal 21 2 2 2 6" xfId="22332" xr:uid="{00000000-0005-0000-0000-00002F560000}"/>
    <cellStyle name="Normal 21 2 2 2 7" xfId="22408" xr:uid="{00000000-0005-0000-0000-000030560000}"/>
    <cellStyle name="Normal 21 2 2 2 8" xfId="23752" xr:uid="{00000000-0005-0000-0000-000031560000}"/>
    <cellStyle name="Normal 21 2 2 2 9" xfId="24957" xr:uid="{00000000-0005-0000-0000-000032560000}"/>
    <cellStyle name="Normal 21 2 2 3" xfId="19417" xr:uid="{00000000-0005-0000-0000-000033560000}"/>
    <cellStyle name="Normal 21 2 3" xfId="18680" xr:uid="{00000000-0005-0000-0000-000034560000}"/>
    <cellStyle name="Normal 21 2 3 10" xfId="25112" xr:uid="{00000000-0005-0000-0000-000035560000}"/>
    <cellStyle name="Normal 21 2 3 11" xfId="24549" xr:uid="{00000000-0005-0000-0000-000036560000}"/>
    <cellStyle name="Normal 21 2 3 12" xfId="26283" xr:uid="{00000000-0005-0000-0000-000037560000}"/>
    <cellStyle name="Normal 21 2 3 13" xfId="22615" xr:uid="{00000000-0005-0000-0000-000038560000}"/>
    <cellStyle name="Normal 21 2 3 2" xfId="20193" xr:uid="{00000000-0005-0000-0000-000039560000}"/>
    <cellStyle name="Normal 21 2 3 3" xfId="19772" xr:uid="{00000000-0005-0000-0000-00003A560000}"/>
    <cellStyle name="Normal 21 2 3 4" xfId="20793" xr:uid="{00000000-0005-0000-0000-00003B560000}"/>
    <cellStyle name="Normal 21 2 3 5" xfId="21386" xr:uid="{00000000-0005-0000-0000-00003C560000}"/>
    <cellStyle name="Normal 21 2 3 6" xfId="22046" xr:uid="{00000000-0005-0000-0000-00003D560000}"/>
    <cellStyle name="Normal 21 2 3 7" xfId="23391" xr:uid="{00000000-0005-0000-0000-00003E560000}"/>
    <cellStyle name="Normal 21 2 3 8" xfId="20802" xr:uid="{00000000-0005-0000-0000-00003F560000}"/>
    <cellStyle name="Normal 21 2 3 9" xfId="24617" xr:uid="{00000000-0005-0000-0000-000040560000}"/>
    <cellStyle name="Normal 21 2 4" xfId="19014" xr:uid="{00000000-0005-0000-0000-000041560000}"/>
    <cellStyle name="Normal 21 3" xfId="18507" xr:uid="{00000000-0005-0000-0000-000042560000}"/>
    <cellStyle name="Normal 21 3 2" xfId="18682" xr:uid="{00000000-0005-0000-0000-000043560000}"/>
    <cellStyle name="Normal 21 3 2 10" xfId="25281" xr:uid="{00000000-0005-0000-0000-000044560000}"/>
    <cellStyle name="Normal 21 3 2 11" xfId="25740" xr:uid="{00000000-0005-0000-0000-000045560000}"/>
    <cellStyle name="Normal 21 3 2 12" xfId="23654" xr:uid="{00000000-0005-0000-0000-000046560000}"/>
    <cellStyle name="Normal 21 3 2 13" xfId="27038" xr:uid="{00000000-0005-0000-0000-000047560000}"/>
    <cellStyle name="Normal 21 3 2 2" xfId="20195" xr:uid="{00000000-0005-0000-0000-000048560000}"/>
    <cellStyle name="Normal 21 3 2 3" xfId="20768" xr:uid="{00000000-0005-0000-0000-000049560000}"/>
    <cellStyle name="Normal 21 3 2 4" xfId="21329" xr:uid="{00000000-0005-0000-0000-00004A560000}"/>
    <cellStyle name="Normal 21 3 2 5" xfId="21991" xr:uid="{00000000-0005-0000-0000-00004B560000}"/>
    <cellStyle name="Normal 21 3 2 6" xfId="22680" xr:uid="{00000000-0005-0000-0000-00004C560000}"/>
    <cellStyle name="Normal 21 3 2 7" xfId="23579" xr:uid="{00000000-0005-0000-0000-00004D560000}"/>
    <cellStyle name="Normal 21 3 2 8" xfId="24100" xr:uid="{00000000-0005-0000-0000-00004E560000}"/>
    <cellStyle name="Normal 21 3 2 9" xfId="20872" xr:uid="{00000000-0005-0000-0000-00004F560000}"/>
    <cellStyle name="Normal 21 3 3" xfId="19013" xr:uid="{00000000-0005-0000-0000-000050560000}"/>
    <cellStyle name="Normal 21 4" xfId="18679" xr:uid="{00000000-0005-0000-0000-000051560000}"/>
    <cellStyle name="Normal 21 4 10" xfId="25589" xr:uid="{00000000-0005-0000-0000-000052560000}"/>
    <cellStyle name="Normal 21 4 11" xfId="24831" xr:uid="{00000000-0005-0000-0000-000053560000}"/>
    <cellStyle name="Normal 21 4 12" xfId="26630" xr:uid="{00000000-0005-0000-0000-000054560000}"/>
    <cellStyle name="Normal 21 4 13" xfId="26850" xr:uid="{00000000-0005-0000-0000-000055560000}"/>
    <cellStyle name="Normal 21 4 2" xfId="20192" xr:uid="{00000000-0005-0000-0000-000056560000}"/>
    <cellStyle name="Normal 21 4 3" xfId="20510" xr:uid="{00000000-0005-0000-0000-000057560000}"/>
    <cellStyle name="Normal 21 4 4" xfId="18952" xr:uid="{00000000-0005-0000-0000-000058560000}"/>
    <cellStyle name="Normal 21 4 5" xfId="21356" xr:uid="{00000000-0005-0000-0000-000059560000}"/>
    <cellStyle name="Normal 21 4 6" xfId="22018" xr:uid="{00000000-0005-0000-0000-00005A560000}"/>
    <cellStyle name="Normal 21 4 7" xfId="23024" xr:uid="{00000000-0005-0000-0000-00005B560000}"/>
    <cellStyle name="Normal 21 4 8" xfId="23449" xr:uid="{00000000-0005-0000-0000-00005C560000}"/>
    <cellStyle name="Normal 21 4 9" xfId="22221" xr:uid="{00000000-0005-0000-0000-00005D560000}"/>
    <cellStyle name="Normal 21 5" xfId="19618" xr:uid="{00000000-0005-0000-0000-00005E560000}"/>
    <cellStyle name="Normal 21 6" xfId="18249" xr:uid="{00000000-0005-0000-0000-00005F560000}"/>
    <cellStyle name="Normal 210" xfId="28477" xr:uid="{00000000-0005-0000-0000-000060560000}"/>
    <cellStyle name="Normal 211" xfId="28474" xr:uid="{00000000-0005-0000-0000-000061560000}"/>
    <cellStyle name="Normal 212" xfId="28478" xr:uid="{00000000-0005-0000-0000-000062560000}"/>
    <cellStyle name="Normal 213" xfId="28479" xr:uid="{00000000-0005-0000-0000-000063560000}"/>
    <cellStyle name="Normal 22" xfId="969" xr:uid="{00000000-0005-0000-0000-000064560000}"/>
    <cellStyle name="Normal 22 2" xfId="1146" xr:uid="{00000000-0005-0000-0000-000065560000}"/>
    <cellStyle name="Normal 22 2 2" xfId="18250" xr:uid="{00000000-0005-0000-0000-000066560000}"/>
    <cellStyle name="Normal 22 2 3" xfId="27247" xr:uid="{00000000-0005-0000-0000-000067560000}"/>
    <cellStyle name="Normal 22 3" xfId="18010" xr:uid="{00000000-0005-0000-0000-000068560000}"/>
    <cellStyle name="Normal 22 4" xfId="28354" xr:uid="{00000000-0005-0000-0000-000069560000}"/>
    <cellStyle name="Normal 22 5" xfId="29276" xr:uid="{00000000-0005-0000-0000-00006A560000}"/>
    <cellStyle name="Normal 23" xfId="44" xr:uid="{00000000-0005-0000-0000-00006B560000}"/>
    <cellStyle name="Normal 23 2" xfId="18371" xr:uid="{00000000-0005-0000-0000-00006C560000}"/>
    <cellStyle name="Normal 23 2 2" xfId="18510" xr:uid="{00000000-0005-0000-0000-00006D560000}"/>
    <cellStyle name="Normal 23 2 2 2" xfId="18685" xr:uid="{00000000-0005-0000-0000-00006E560000}"/>
    <cellStyle name="Normal 23 2 2 2 10" xfId="24858" xr:uid="{00000000-0005-0000-0000-00006F560000}"/>
    <cellStyle name="Normal 23 2 2 2 11" xfId="24032" xr:uid="{00000000-0005-0000-0000-000070560000}"/>
    <cellStyle name="Normal 23 2 2 2 12" xfId="25937" xr:uid="{00000000-0005-0000-0000-000071560000}"/>
    <cellStyle name="Normal 23 2 2 2 13" xfId="26538" xr:uid="{00000000-0005-0000-0000-000072560000}"/>
    <cellStyle name="Normal 23 2 2 2 2" xfId="20198" xr:uid="{00000000-0005-0000-0000-000073560000}"/>
    <cellStyle name="Normal 23 2 2 2 3" xfId="20643" xr:uid="{00000000-0005-0000-0000-000074560000}"/>
    <cellStyle name="Normal 23 2 2 2 4" xfId="21037" xr:uid="{00000000-0005-0000-0000-000075560000}"/>
    <cellStyle name="Normal 23 2 2 2 5" xfId="21647" xr:uid="{00000000-0005-0000-0000-000076560000}"/>
    <cellStyle name="Normal 23 2 2 2 6" xfId="22329" xr:uid="{00000000-0005-0000-0000-000077560000}"/>
    <cellStyle name="Normal 23 2 2 2 7" xfId="19129" xr:uid="{00000000-0005-0000-0000-000078560000}"/>
    <cellStyle name="Normal 23 2 2 2 8" xfId="23749" xr:uid="{00000000-0005-0000-0000-000079560000}"/>
    <cellStyle name="Normal 23 2 2 2 9" xfId="24945" xr:uid="{00000000-0005-0000-0000-00007A560000}"/>
    <cellStyle name="Normal 23 2 2 3" xfId="19616" xr:uid="{00000000-0005-0000-0000-00007B560000}"/>
    <cellStyle name="Normal 23 2 3" xfId="18684" xr:uid="{00000000-0005-0000-0000-00007C560000}"/>
    <cellStyle name="Normal 23 2 3 10" xfId="22923" xr:uid="{00000000-0005-0000-0000-00007D560000}"/>
    <cellStyle name="Normal 23 2 3 11" xfId="22571" xr:uid="{00000000-0005-0000-0000-00007E560000}"/>
    <cellStyle name="Normal 23 2 3 12" xfId="26401" xr:uid="{00000000-0005-0000-0000-00007F560000}"/>
    <cellStyle name="Normal 23 2 3 13" xfId="25195" xr:uid="{00000000-0005-0000-0000-000080560000}"/>
    <cellStyle name="Normal 23 2 3 2" xfId="20197" xr:uid="{00000000-0005-0000-0000-000081560000}"/>
    <cellStyle name="Normal 23 2 3 3" xfId="19770" xr:uid="{00000000-0005-0000-0000-000082560000}"/>
    <cellStyle name="Normal 23 2 3 4" xfId="21484" xr:uid="{00000000-0005-0000-0000-000083560000}"/>
    <cellStyle name="Normal 23 2 3 5" xfId="22170" xr:uid="{00000000-0005-0000-0000-000084560000}"/>
    <cellStyle name="Normal 23 2 3 6" xfId="22856" xr:uid="{00000000-0005-0000-0000-000085560000}"/>
    <cellStyle name="Normal 23 2 3 7" xfId="22582" xr:uid="{00000000-0005-0000-0000-000086560000}"/>
    <cellStyle name="Normal 23 2 3 8" xfId="24285" xr:uid="{00000000-0005-0000-0000-000087560000}"/>
    <cellStyle name="Normal 23 2 3 9" xfId="23467" xr:uid="{00000000-0005-0000-0000-000088560000}"/>
    <cellStyle name="Normal 23 2 4" xfId="19287" xr:uid="{00000000-0005-0000-0000-000089560000}"/>
    <cellStyle name="Normal 23 3" xfId="18509" xr:uid="{00000000-0005-0000-0000-00008A560000}"/>
    <cellStyle name="Normal 23 3 2" xfId="18686" xr:uid="{00000000-0005-0000-0000-00008B560000}"/>
    <cellStyle name="Normal 23 3 2 10" xfId="22964" xr:uid="{00000000-0005-0000-0000-00008C560000}"/>
    <cellStyle name="Normal 23 3 2 11" xfId="25890" xr:uid="{00000000-0005-0000-0000-00008D560000}"/>
    <cellStyle name="Normal 23 3 2 12" xfId="26400" xr:uid="{00000000-0005-0000-0000-00008E560000}"/>
    <cellStyle name="Normal 23 3 2 13" xfId="26549" xr:uid="{00000000-0005-0000-0000-00008F560000}"/>
    <cellStyle name="Normal 23 3 2 2" xfId="20199" xr:uid="{00000000-0005-0000-0000-000090560000}"/>
    <cellStyle name="Normal 23 3 2 3" xfId="20898" xr:uid="{00000000-0005-0000-0000-000091560000}"/>
    <cellStyle name="Normal 23 3 2 4" xfId="19951" xr:uid="{00000000-0005-0000-0000-000092560000}"/>
    <cellStyle name="Normal 23 3 2 5" xfId="21262" xr:uid="{00000000-0005-0000-0000-000093560000}"/>
    <cellStyle name="Normal 23 3 2 6" xfId="21898" xr:uid="{00000000-0005-0000-0000-000094560000}"/>
    <cellStyle name="Normal 23 3 2 7" xfId="23392" xr:uid="{00000000-0005-0000-0000-000095560000}"/>
    <cellStyle name="Normal 23 3 2 8" xfId="22082" xr:uid="{00000000-0005-0000-0000-000096560000}"/>
    <cellStyle name="Normal 23 3 2 9" xfId="24440" xr:uid="{00000000-0005-0000-0000-000097560000}"/>
    <cellStyle name="Normal 23 3 3" xfId="19012" xr:uid="{00000000-0005-0000-0000-000098560000}"/>
    <cellStyle name="Normal 23 4" xfId="18683" xr:uid="{00000000-0005-0000-0000-000099560000}"/>
    <cellStyle name="Normal 23 4 10" xfId="25603" xr:uid="{00000000-0005-0000-0000-00009A560000}"/>
    <cellStyle name="Normal 23 4 11" xfId="26024" xr:uid="{00000000-0005-0000-0000-00009B560000}"/>
    <cellStyle name="Normal 23 4 12" xfId="26513" xr:uid="{00000000-0005-0000-0000-00009C560000}"/>
    <cellStyle name="Normal 23 4 13" xfId="25949" xr:uid="{00000000-0005-0000-0000-00009D560000}"/>
    <cellStyle name="Normal 23 4 2" xfId="20196" xr:uid="{00000000-0005-0000-0000-00009E560000}"/>
    <cellStyle name="Normal 23 4 3" xfId="20644" xr:uid="{00000000-0005-0000-0000-00009F560000}"/>
    <cellStyle name="Normal 23 4 4" xfId="19950" xr:uid="{00000000-0005-0000-0000-0000A0560000}"/>
    <cellStyle name="Normal 23 4 5" xfId="21119" xr:uid="{00000000-0005-0000-0000-0000A1560000}"/>
    <cellStyle name="Normal 23 4 6" xfId="21727" xr:uid="{00000000-0005-0000-0000-0000A2560000}"/>
    <cellStyle name="Normal 23 4 7" xfId="23021" xr:uid="{00000000-0005-0000-0000-0000A3560000}"/>
    <cellStyle name="Normal 23 4 8" xfId="23100" xr:uid="{00000000-0005-0000-0000-0000A4560000}"/>
    <cellStyle name="Normal 23 4 9" xfId="21702" xr:uid="{00000000-0005-0000-0000-0000A5560000}"/>
    <cellStyle name="Normal 23 5" xfId="19613" xr:uid="{00000000-0005-0000-0000-0000A6560000}"/>
    <cellStyle name="Normal 23 6" xfId="18251" xr:uid="{00000000-0005-0000-0000-0000A7560000}"/>
    <cellStyle name="Normal 24" xfId="1180" xr:uid="{00000000-0005-0000-0000-0000A8560000}"/>
    <cellStyle name="Normal 24 2" xfId="1195" xr:uid="{00000000-0005-0000-0000-0000A9560000}"/>
    <cellStyle name="Normal 24 2 2" xfId="2392" xr:uid="{00000000-0005-0000-0000-0000AA560000}"/>
    <cellStyle name="Normal 24 2 2 2" xfId="4510" xr:uid="{00000000-0005-0000-0000-0000AB560000}"/>
    <cellStyle name="Normal 24 2 2 2 2" xfId="8932" xr:uid="{00000000-0005-0000-0000-0000AC560000}"/>
    <cellStyle name="Normal 24 2 2 2 2 2" xfId="17753" xr:uid="{00000000-0005-0000-0000-0000AD560000}"/>
    <cellStyle name="Normal 24 2 2 2 3" xfId="13346" xr:uid="{00000000-0005-0000-0000-0000AE560000}"/>
    <cellStyle name="Normal 24 2 2 3" xfId="6727" xr:uid="{00000000-0005-0000-0000-0000AF560000}"/>
    <cellStyle name="Normal 24 2 2 3 2" xfId="15548" xr:uid="{00000000-0005-0000-0000-0000B0560000}"/>
    <cellStyle name="Normal 24 2 2 4" xfId="11141" xr:uid="{00000000-0005-0000-0000-0000B1560000}"/>
    <cellStyle name="Normal 24 2 3" xfId="1844" xr:uid="{00000000-0005-0000-0000-0000B2560000}"/>
    <cellStyle name="Normal 24 2 3 2" xfId="3800" xr:uid="{00000000-0005-0000-0000-0000B3560000}"/>
    <cellStyle name="Normal 24 2 3 2 2" xfId="8194" xr:uid="{00000000-0005-0000-0000-0000B4560000}"/>
    <cellStyle name="Normal 24 2 3 2 2 2" xfId="17015" xr:uid="{00000000-0005-0000-0000-0000B5560000}"/>
    <cellStyle name="Normal 24 2 3 2 3" xfId="12608" xr:uid="{00000000-0005-0000-0000-0000B6560000}"/>
    <cellStyle name="Normal 24 2 3 3" xfId="5989" xr:uid="{00000000-0005-0000-0000-0000B7560000}"/>
    <cellStyle name="Normal 24 2 3 3 2" xfId="14810" xr:uid="{00000000-0005-0000-0000-0000B8560000}"/>
    <cellStyle name="Normal 24 2 3 4" xfId="10403" xr:uid="{00000000-0005-0000-0000-0000B9560000}"/>
    <cellStyle name="Normal 24 2 4" xfId="3063" xr:uid="{00000000-0005-0000-0000-0000BA560000}"/>
    <cellStyle name="Normal 24 2 4 2" xfId="7457" xr:uid="{00000000-0005-0000-0000-0000BB560000}"/>
    <cellStyle name="Normal 24 2 4 2 2" xfId="16278" xr:uid="{00000000-0005-0000-0000-0000BC560000}"/>
    <cellStyle name="Normal 24 2 4 3" xfId="11871" xr:uid="{00000000-0005-0000-0000-0000BD560000}"/>
    <cellStyle name="Normal 24 2 5" xfId="5252" xr:uid="{00000000-0005-0000-0000-0000BE560000}"/>
    <cellStyle name="Normal 24 2 5 2" xfId="14073" xr:uid="{00000000-0005-0000-0000-0000BF560000}"/>
    <cellStyle name="Normal 24 2 6" xfId="9666" xr:uid="{00000000-0005-0000-0000-0000C0560000}"/>
    <cellStyle name="Normal 24 2 7" xfId="18253" xr:uid="{00000000-0005-0000-0000-0000C1560000}"/>
    <cellStyle name="Normal 24 3" xfId="2131" xr:uid="{00000000-0005-0000-0000-0000C2560000}"/>
    <cellStyle name="Normal 24 3 2" xfId="4155" xr:uid="{00000000-0005-0000-0000-0000C3560000}"/>
    <cellStyle name="Normal 24 3 2 2" xfId="8563" xr:uid="{00000000-0005-0000-0000-0000C4560000}"/>
    <cellStyle name="Normal 24 3 2 2 2" xfId="17384" xr:uid="{00000000-0005-0000-0000-0000C5560000}"/>
    <cellStyle name="Normal 24 3 2 3" xfId="12977" xr:uid="{00000000-0005-0000-0000-0000C6560000}"/>
    <cellStyle name="Normal 24 3 3" xfId="6358" xr:uid="{00000000-0005-0000-0000-0000C7560000}"/>
    <cellStyle name="Normal 24 3 3 2" xfId="15179" xr:uid="{00000000-0005-0000-0000-0000C8560000}"/>
    <cellStyle name="Normal 24 3 4" xfId="10772" xr:uid="{00000000-0005-0000-0000-0000C9560000}"/>
    <cellStyle name="Normal 24 4" xfId="1489" xr:uid="{00000000-0005-0000-0000-0000CA560000}"/>
    <cellStyle name="Normal 24 4 2" xfId="3431" xr:uid="{00000000-0005-0000-0000-0000CB560000}"/>
    <cellStyle name="Normal 24 4 2 2" xfId="7825" xr:uid="{00000000-0005-0000-0000-0000CC560000}"/>
    <cellStyle name="Normal 24 4 2 2 2" xfId="16646" xr:uid="{00000000-0005-0000-0000-0000CD560000}"/>
    <cellStyle name="Normal 24 4 2 3" xfId="12239" xr:uid="{00000000-0005-0000-0000-0000CE560000}"/>
    <cellStyle name="Normal 24 4 3" xfId="5620" xr:uid="{00000000-0005-0000-0000-0000CF560000}"/>
    <cellStyle name="Normal 24 4 3 2" xfId="14441" xr:uid="{00000000-0005-0000-0000-0000D0560000}"/>
    <cellStyle name="Normal 24 4 4" xfId="10034" xr:uid="{00000000-0005-0000-0000-0000D1560000}"/>
    <cellStyle name="Normal 24 5" xfId="2695" xr:uid="{00000000-0005-0000-0000-0000D2560000}"/>
    <cellStyle name="Normal 24 5 2" xfId="7088" xr:uid="{00000000-0005-0000-0000-0000D3560000}"/>
    <cellStyle name="Normal 24 5 2 2" xfId="15909" xr:uid="{00000000-0005-0000-0000-0000D4560000}"/>
    <cellStyle name="Normal 24 5 3" xfId="11502" xr:uid="{00000000-0005-0000-0000-0000D5560000}"/>
    <cellStyle name="Normal 24 6" xfId="4883" xr:uid="{00000000-0005-0000-0000-0000D6560000}"/>
    <cellStyle name="Normal 24 6 2" xfId="13704" xr:uid="{00000000-0005-0000-0000-0000D7560000}"/>
    <cellStyle name="Normal 24 7" xfId="9297" xr:uid="{00000000-0005-0000-0000-0000D8560000}"/>
    <cellStyle name="Normal 24 8" xfId="18252" xr:uid="{00000000-0005-0000-0000-0000D9560000}"/>
    <cellStyle name="Normal 25" xfId="1158" xr:uid="{00000000-0005-0000-0000-0000DA560000}"/>
    <cellStyle name="Normal 25 2" xfId="18372" xr:uid="{00000000-0005-0000-0000-0000DB560000}"/>
    <cellStyle name="Normal 25 2 2" xfId="18512" xr:uid="{00000000-0005-0000-0000-0000DC560000}"/>
    <cellStyle name="Normal 25 2 2 2" xfId="18689" xr:uid="{00000000-0005-0000-0000-0000DD560000}"/>
    <cellStyle name="Normal 25 2 2 2 10" xfId="24514" xr:uid="{00000000-0005-0000-0000-0000DE560000}"/>
    <cellStyle name="Normal 25 2 2 2 11" xfId="25506" xr:uid="{00000000-0005-0000-0000-0000DF560000}"/>
    <cellStyle name="Normal 25 2 2 2 12" xfId="24190" xr:uid="{00000000-0005-0000-0000-0000E0560000}"/>
    <cellStyle name="Normal 25 2 2 2 13" xfId="26553" xr:uid="{00000000-0005-0000-0000-0000E1560000}"/>
    <cellStyle name="Normal 25 2 2 2 2" xfId="20202" xr:uid="{00000000-0005-0000-0000-0000E2560000}"/>
    <cellStyle name="Normal 25 2 2 2 3" xfId="18906" xr:uid="{00000000-0005-0000-0000-0000E3560000}"/>
    <cellStyle name="Normal 25 2 2 2 4" xfId="21193" xr:uid="{00000000-0005-0000-0000-0000E4560000}"/>
    <cellStyle name="Normal 25 2 2 2 5" xfId="21825" xr:uid="{00000000-0005-0000-0000-0000E5560000}"/>
    <cellStyle name="Normal 25 2 2 2 6" xfId="22510" xr:uid="{00000000-0005-0000-0000-0000E6560000}"/>
    <cellStyle name="Normal 25 2 2 2 7" xfId="23211" xr:uid="{00000000-0005-0000-0000-0000E7560000}"/>
    <cellStyle name="Normal 25 2 2 2 8" xfId="23929" xr:uid="{00000000-0005-0000-0000-0000E8560000}"/>
    <cellStyle name="Normal 25 2 2 2 9" xfId="24959" xr:uid="{00000000-0005-0000-0000-0000E9560000}"/>
    <cellStyle name="Normal 25 2 2 3" xfId="19615" xr:uid="{00000000-0005-0000-0000-0000EA560000}"/>
    <cellStyle name="Normal 25 2 3" xfId="18688" xr:uid="{00000000-0005-0000-0000-0000EB560000}"/>
    <cellStyle name="Normal 25 2 3 10" xfId="25266" xr:uid="{00000000-0005-0000-0000-0000EC560000}"/>
    <cellStyle name="Normal 25 2 3 11" xfId="24702" xr:uid="{00000000-0005-0000-0000-0000ED560000}"/>
    <cellStyle name="Normal 25 2 3 12" xfId="25655" xr:uid="{00000000-0005-0000-0000-0000EE560000}"/>
    <cellStyle name="Normal 25 2 3 13" xfId="26945" xr:uid="{00000000-0005-0000-0000-0000EF560000}"/>
    <cellStyle name="Normal 25 2 3 2" xfId="20201" xr:uid="{00000000-0005-0000-0000-0000F0560000}"/>
    <cellStyle name="Normal 25 2 3 3" xfId="19768" xr:uid="{00000000-0005-0000-0000-0000F1560000}"/>
    <cellStyle name="Normal 25 2 3 4" xfId="21330" xr:uid="{00000000-0005-0000-0000-0000F2560000}"/>
    <cellStyle name="Normal 25 2 3 5" xfId="21992" xr:uid="{00000000-0005-0000-0000-0000F3560000}"/>
    <cellStyle name="Normal 25 2 3 6" xfId="22681" xr:uid="{00000000-0005-0000-0000-0000F4560000}"/>
    <cellStyle name="Normal 25 2 3 7" xfId="20686" xr:uid="{00000000-0005-0000-0000-0000F5560000}"/>
    <cellStyle name="Normal 25 2 3 8" xfId="24101" xr:uid="{00000000-0005-0000-0000-0000F6560000}"/>
    <cellStyle name="Normal 25 2 3 9" xfId="24619" xr:uid="{00000000-0005-0000-0000-0000F7560000}"/>
    <cellStyle name="Normal 25 2 4" xfId="19286" xr:uid="{00000000-0005-0000-0000-0000F8560000}"/>
    <cellStyle name="Normal 25 3" xfId="18511" xr:uid="{00000000-0005-0000-0000-0000F9560000}"/>
    <cellStyle name="Normal 25 3 2" xfId="18690" xr:uid="{00000000-0005-0000-0000-0000FA560000}"/>
    <cellStyle name="Normal 25 3 2 10" xfId="25113" xr:uid="{00000000-0005-0000-0000-0000FB560000}"/>
    <cellStyle name="Normal 25 3 2 11" xfId="25889" xr:uid="{00000000-0005-0000-0000-0000FC560000}"/>
    <cellStyle name="Normal 25 3 2 12" xfId="25210" xr:uid="{00000000-0005-0000-0000-0000FD560000}"/>
    <cellStyle name="Normal 25 3 2 13" xfId="27043" xr:uid="{00000000-0005-0000-0000-0000FE560000}"/>
    <cellStyle name="Normal 25 3 2 2" xfId="20203" xr:uid="{00000000-0005-0000-0000-0000FF560000}"/>
    <cellStyle name="Normal 25 3 2 3" xfId="20893" xr:uid="{00000000-0005-0000-0000-000000570000}"/>
    <cellStyle name="Normal 25 3 2 4" xfId="20583" xr:uid="{00000000-0005-0000-0000-000001570000}"/>
    <cellStyle name="Normal 25 3 2 5" xfId="18890" xr:uid="{00000000-0005-0000-0000-000002570000}"/>
    <cellStyle name="Normal 25 3 2 6" xfId="19150" xr:uid="{00000000-0005-0000-0000-000003570000}"/>
    <cellStyle name="Normal 25 3 2 7" xfId="23578" xr:uid="{00000000-0005-0000-0000-000004570000}"/>
    <cellStyle name="Normal 25 3 2 8" xfId="23284" xr:uid="{00000000-0005-0000-0000-000005570000}"/>
    <cellStyle name="Normal 25 3 2 9" xfId="22044" xr:uid="{00000000-0005-0000-0000-000006570000}"/>
    <cellStyle name="Normal 25 3 3" xfId="19011" xr:uid="{00000000-0005-0000-0000-000007570000}"/>
    <cellStyle name="Normal 25 4" xfId="18687" xr:uid="{00000000-0005-0000-0000-000008570000}"/>
    <cellStyle name="Normal 25 4 10" xfId="25437" xr:uid="{00000000-0005-0000-0000-000009570000}"/>
    <cellStyle name="Normal 25 4 11" xfId="26170" xr:uid="{00000000-0005-0000-0000-00000A570000}"/>
    <cellStyle name="Normal 25 4 12" xfId="26629" xr:uid="{00000000-0005-0000-0000-00000B570000}"/>
    <cellStyle name="Normal 25 4 13" xfId="26756" xr:uid="{00000000-0005-0000-0000-00000C570000}"/>
    <cellStyle name="Normal 25 4 2" xfId="20200" xr:uid="{00000000-0005-0000-0000-00000D570000}"/>
    <cellStyle name="Normal 25 4 3" xfId="19769" xr:uid="{00000000-0005-0000-0000-00000E570000}"/>
    <cellStyle name="Normal 25 4 4" xfId="20839" xr:uid="{00000000-0005-0000-0000-00000F570000}"/>
    <cellStyle name="Normal 25 4 5" xfId="19505" xr:uid="{00000000-0005-0000-0000-000010570000}"/>
    <cellStyle name="Normal 25 4 6" xfId="18897" xr:uid="{00000000-0005-0000-0000-000011570000}"/>
    <cellStyle name="Normal 25 4 7" xfId="23212" xr:uid="{00000000-0005-0000-0000-000012570000}"/>
    <cellStyle name="Normal 25 4 8" xfId="23101" xr:uid="{00000000-0005-0000-0000-000013570000}"/>
    <cellStyle name="Normal 25 4 9" xfId="22403" xr:uid="{00000000-0005-0000-0000-000014570000}"/>
    <cellStyle name="Normal 25 5" xfId="19614" xr:uid="{00000000-0005-0000-0000-000015570000}"/>
    <cellStyle name="Normal 25 6" xfId="18254" xr:uid="{00000000-0005-0000-0000-000016570000}"/>
    <cellStyle name="Normal 26" xfId="1261" xr:uid="{00000000-0005-0000-0000-000017570000}"/>
    <cellStyle name="Normal 26 2" xfId="2262" xr:uid="{00000000-0005-0000-0000-000018570000}"/>
    <cellStyle name="Normal 26 2 2" xfId="4339" xr:uid="{00000000-0005-0000-0000-000019570000}"/>
    <cellStyle name="Normal 26 2 2 2" xfId="8748" xr:uid="{00000000-0005-0000-0000-00001A570000}"/>
    <cellStyle name="Normal 26 2 2 2 2" xfId="17569" xr:uid="{00000000-0005-0000-0000-00001B570000}"/>
    <cellStyle name="Normal 26 2 2 3" xfId="13162" xr:uid="{00000000-0005-0000-0000-00001C570000}"/>
    <cellStyle name="Normal 26 2 3" xfId="6543" xr:uid="{00000000-0005-0000-0000-00001D570000}"/>
    <cellStyle name="Normal 26 2 3 2" xfId="15364" xr:uid="{00000000-0005-0000-0000-00001E570000}"/>
    <cellStyle name="Normal 26 2 4" xfId="10957" xr:uid="{00000000-0005-0000-0000-00001F570000}"/>
    <cellStyle name="Normal 26 3" xfId="1673" xr:uid="{00000000-0005-0000-0000-000020570000}"/>
    <cellStyle name="Normal 26 3 2" xfId="3616" xr:uid="{00000000-0005-0000-0000-000021570000}"/>
    <cellStyle name="Normal 26 3 2 2" xfId="8010" xr:uid="{00000000-0005-0000-0000-000022570000}"/>
    <cellStyle name="Normal 26 3 2 2 2" xfId="16831" xr:uid="{00000000-0005-0000-0000-000023570000}"/>
    <cellStyle name="Normal 26 3 2 3" xfId="12424" xr:uid="{00000000-0005-0000-0000-000024570000}"/>
    <cellStyle name="Normal 26 3 3" xfId="5805" xr:uid="{00000000-0005-0000-0000-000025570000}"/>
    <cellStyle name="Normal 26 3 3 2" xfId="14626" xr:uid="{00000000-0005-0000-0000-000026570000}"/>
    <cellStyle name="Normal 26 3 4" xfId="10219" xr:uid="{00000000-0005-0000-0000-000027570000}"/>
    <cellStyle name="Normal 26 4" xfId="2879" xr:uid="{00000000-0005-0000-0000-000028570000}"/>
    <cellStyle name="Normal 26 4 2" xfId="7273" xr:uid="{00000000-0005-0000-0000-000029570000}"/>
    <cellStyle name="Normal 26 4 2 2" xfId="16094" xr:uid="{00000000-0005-0000-0000-00002A570000}"/>
    <cellStyle name="Normal 26 4 3" xfId="11687" xr:uid="{00000000-0005-0000-0000-00002B570000}"/>
    <cellStyle name="Normal 26 5" xfId="5068" xr:uid="{00000000-0005-0000-0000-00002C570000}"/>
    <cellStyle name="Normal 26 5 2" xfId="13889" xr:uid="{00000000-0005-0000-0000-00002D570000}"/>
    <cellStyle name="Normal 26 6" xfId="9482" xr:uid="{00000000-0005-0000-0000-00002E570000}"/>
    <cellStyle name="Normal 26 7" xfId="18255" xr:uid="{00000000-0005-0000-0000-00002F570000}"/>
    <cellStyle name="Normal 27" xfId="2028" xr:uid="{00000000-0005-0000-0000-000030570000}"/>
    <cellStyle name="Normal 27 2" xfId="3985" xr:uid="{00000000-0005-0000-0000-000031570000}"/>
    <cellStyle name="Normal 27 2 2" xfId="8379" xr:uid="{00000000-0005-0000-0000-000032570000}"/>
    <cellStyle name="Normal 27 2 2 2" xfId="17200" xr:uid="{00000000-0005-0000-0000-000033570000}"/>
    <cellStyle name="Normal 27 2 2 2 10" xfId="24515" xr:uid="{00000000-0005-0000-0000-000034570000}"/>
    <cellStyle name="Normal 27 2 2 2 11" xfId="24537" xr:uid="{00000000-0005-0000-0000-000035570000}"/>
    <cellStyle name="Normal 27 2 2 2 12" xfId="25797" xr:uid="{00000000-0005-0000-0000-000036570000}"/>
    <cellStyle name="Normal 27 2 2 2 13" xfId="25950" xr:uid="{00000000-0005-0000-0000-000037570000}"/>
    <cellStyle name="Normal 27 2 2 2 2" xfId="20206" xr:uid="{00000000-0005-0000-0000-000038570000}"/>
    <cellStyle name="Normal 27 2 2 2 3" xfId="20645" xr:uid="{00000000-0005-0000-0000-000039570000}"/>
    <cellStyle name="Normal 27 2 2 2 4" xfId="19952" xr:uid="{00000000-0005-0000-0000-00003A570000}"/>
    <cellStyle name="Normal 27 2 2 2 5" xfId="19035" xr:uid="{00000000-0005-0000-0000-00003B570000}"/>
    <cellStyle name="Normal 27 2 2 2 6" xfId="19363" xr:uid="{00000000-0005-0000-0000-00003C570000}"/>
    <cellStyle name="Normal 27 2 2 2 7" xfId="20444" xr:uid="{00000000-0005-0000-0000-00003D570000}"/>
    <cellStyle name="Normal 27 2 2 2 8" xfId="19164" xr:uid="{00000000-0005-0000-0000-00003E570000}"/>
    <cellStyle name="Normal 27 2 2 2 9" xfId="24786" xr:uid="{00000000-0005-0000-0000-00003F570000}"/>
    <cellStyle name="Normal 27 2 2 3" xfId="19009" xr:uid="{00000000-0005-0000-0000-000040570000}"/>
    <cellStyle name="Normal 27 2 3" xfId="12793" xr:uid="{00000000-0005-0000-0000-000041570000}"/>
    <cellStyle name="Normal 27 2 3 10" xfId="22595" xr:uid="{00000000-0005-0000-0000-000042570000}"/>
    <cellStyle name="Normal 27 2 3 11" xfId="25182" xr:uid="{00000000-0005-0000-0000-000043570000}"/>
    <cellStyle name="Normal 27 2 3 12" xfId="26284" xr:uid="{00000000-0005-0000-0000-000044570000}"/>
    <cellStyle name="Normal 27 2 3 13" xfId="26322" xr:uid="{00000000-0005-0000-0000-000045570000}"/>
    <cellStyle name="Normal 27 2 3 2" xfId="20205" xr:uid="{00000000-0005-0000-0000-000046570000}"/>
    <cellStyle name="Normal 27 2 3 3" xfId="19767" xr:uid="{00000000-0005-0000-0000-000047570000}"/>
    <cellStyle name="Normal 27 2 3 4" xfId="21483" xr:uid="{00000000-0005-0000-0000-000048570000}"/>
    <cellStyle name="Normal 27 2 3 5" xfId="22169" xr:uid="{00000000-0005-0000-0000-000049570000}"/>
    <cellStyle name="Normal 27 2 3 6" xfId="22855" xr:uid="{00000000-0005-0000-0000-00004A570000}"/>
    <cellStyle name="Normal 27 2 3 7" xfId="20953" xr:uid="{00000000-0005-0000-0000-00004B570000}"/>
    <cellStyle name="Normal 27 2 3 8" xfId="24284" xr:uid="{00000000-0005-0000-0000-00004C570000}"/>
    <cellStyle name="Normal 27 2 3 9" xfId="23777" xr:uid="{00000000-0005-0000-0000-00004D570000}"/>
    <cellStyle name="Normal 27 2 4" xfId="19416" xr:uid="{00000000-0005-0000-0000-00004E570000}"/>
    <cellStyle name="Normal 27 3" xfId="6174" xr:uid="{00000000-0005-0000-0000-00004F570000}"/>
    <cellStyle name="Normal 27 3 2" xfId="14995" xr:uid="{00000000-0005-0000-0000-000050570000}"/>
    <cellStyle name="Normal 27 3 2 10" xfId="22940" xr:uid="{00000000-0005-0000-0000-000051570000}"/>
    <cellStyle name="Normal 27 3 2 11" xfId="25891" xr:uid="{00000000-0005-0000-0000-000052570000}"/>
    <cellStyle name="Normal 27 3 2 12" xfId="26402" xr:uid="{00000000-0005-0000-0000-000053570000}"/>
    <cellStyle name="Normal 27 3 2 13" xfId="26946" xr:uid="{00000000-0005-0000-0000-000054570000}"/>
    <cellStyle name="Normal 27 3 2 2" xfId="20207" xr:uid="{00000000-0005-0000-0000-000055570000}"/>
    <cellStyle name="Normal 27 3 2 3" xfId="20900" xr:uid="{00000000-0005-0000-0000-000056570000}"/>
    <cellStyle name="Normal 27 3 2 4" xfId="20584" xr:uid="{00000000-0005-0000-0000-000057570000}"/>
    <cellStyle name="Normal 27 3 2 5" xfId="19233" xr:uid="{00000000-0005-0000-0000-000058570000}"/>
    <cellStyle name="Normal 27 3 2 6" xfId="19203" xr:uid="{00000000-0005-0000-0000-000059570000}"/>
    <cellStyle name="Normal 27 3 2 7" xfId="23567" xr:uid="{00000000-0005-0000-0000-00005A570000}"/>
    <cellStyle name="Normal 27 3 2 8" xfId="19991" xr:uid="{00000000-0005-0000-0000-00005B570000}"/>
    <cellStyle name="Normal 27 3 2 9" xfId="24604" xr:uid="{00000000-0005-0000-0000-00005C570000}"/>
    <cellStyle name="Normal 27 3 3" xfId="19415" xr:uid="{00000000-0005-0000-0000-00005D570000}"/>
    <cellStyle name="Normal 27 4" xfId="10588" xr:uid="{00000000-0005-0000-0000-00005E570000}"/>
    <cellStyle name="Normal 27 4 10" xfId="25436" xr:uid="{00000000-0005-0000-0000-00005F570000}"/>
    <cellStyle name="Normal 27 4 11" xfId="26169" xr:uid="{00000000-0005-0000-0000-000060570000}"/>
    <cellStyle name="Normal 27 4 12" xfId="26617" xr:uid="{00000000-0005-0000-0000-000061570000}"/>
    <cellStyle name="Normal 27 4 13" xfId="26753" xr:uid="{00000000-0005-0000-0000-000062570000}"/>
    <cellStyle name="Normal 27 4 2" xfId="20204" xr:uid="{00000000-0005-0000-0000-000063570000}"/>
    <cellStyle name="Normal 27 4 3" xfId="20511" xr:uid="{00000000-0005-0000-0000-000064570000}"/>
    <cellStyle name="Normal 27 4 4" xfId="21192" xr:uid="{00000000-0005-0000-0000-000065570000}"/>
    <cellStyle name="Normal 27 4 5" xfId="21824" xr:uid="{00000000-0005-0000-0000-000066570000}"/>
    <cellStyle name="Normal 27 4 6" xfId="22509" xr:uid="{00000000-0005-0000-0000-000067570000}"/>
    <cellStyle name="Normal 27 4 7" xfId="21406" xr:uid="{00000000-0005-0000-0000-000068570000}"/>
    <cellStyle name="Normal 27 4 8" xfId="23928" xr:uid="{00000000-0005-0000-0000-000069570000}"/>
    <cellStyle name="Normal 27 4 9" xfId="22371" xr:uid="{00000000-0005-0000-0000-00006A570000}"/>
    <cellStyle name="Normal 27 5" xfId="19010" xr:uid="{00000000-0005-0000-0000-00006B570000}"/>
    <cellStyle name="Normal 28" xfId="2523" xr:uid="{00000000-0005-0000-0000-00006C570000}"/>
    <cellStyle name="Normal 28 2" xfId="6912" xr:uid="{00000000-0005-0000-0000-00006D570000}"/>
    <cellStyle name="Normal 28 2 2" xfId="15733" xr:uid="{00000000-0005-0000-0000-00006E570000}"/>
    <cellStyle name="Normal 28 2 2 2" xfId="18693" xr:uid="{00000000-0005-0000-0000-00006F570000}"/>
    <cellStyle name="Normal 28 2 2 2 10" xfId="25438" xr:uid="{00000000-0005-0000-0000-000070570000}"/>
    <cellStyle name="Normal 28 2 2 2 11" xfId="26171" xr:uid="{00000000-0005-0000-0000-000071570000}"/>
    <cellStyle name="Normal 28 2 2 2 12" xfId="25480" xr:uid="{00000000-0005-0000-0000-000072570000}"/>
    <cellStyle name="Normal 28 2 2 2 13" xfId="26851" xr:uid="{00000000-0005-0000-0000-000073570000}"/>
    <cellStyle name="Normal 28 2 2 2 2" xfId="20210" xr:uid="{00000000-0005-0000-0000-000074570000}"/>
    <cellStyle name="Normal 28 2 2 2 3" xfId="19090" xr:uid="{00000000-0005-0000-0000-000075570000}"/>
    <cellStyle name="Normal 28 2 2 2 4" xfId="21038" xr:uid="{00000000-0005-0000-0000-000076570000}"/>
    <cellStyle name="Normal 28 2 2 2 5" xfId="21648" xr:uid="{00000000-0005-0000-0000-000077570000}"/>
    <cellStyle name="Normal 28 2 2 2 6" xfId="22330" xr:uid="{00000000-0005-0000-0000-000078570000}"/>
    <cellStyle name="Normal 28 2 2 2 7" xfId="23213" xr:uid="{00000000-0005-0000-0000-000079570000}"/>
    <cellStyle name="Normal 28 2 2 2 8" xfId="23750" xr:uid="{00000000-0005-0000-0000-00007A570000}"/>
    <cellStyle name="Normal 28 2 2 2 9" xfId="24785" xr:uid="{00000000-0005-0000-0000-00007B570000}"/>
    <cellStyle name="Normal 28 2 2 3" xfId="19285" xr:uid="{00000000-0005-0000-0000-00007C570000}"/>
    <cellStyle name="Normal 28 2 3" xfId="18692" xr:uid="{00000000-0005-0000-0000-00007D570000}"/>
    <cellStyle name="Normal 28 2 3 10" xfId="25115" xr:uid="{00000000-0005-0000-0000-00007E570000}"/>
    <cellStyle name="Normal 28 2 3 11" xfId="25183" xr:uid="{00000000-0005-0000-0000-00007F570000}"/>
    <cellStyle name="Normal 28 2 3 12" xfId="26083" xr:uid="{00000000-0005-0000-0000-000080570000}"/>
    <cellStyle name="Normal 28 2 3 13" xfId="26323" xr:uid="{00000000-0005-0000-0000-000081570000}"/>
    <cellStyle name="Normal 28 2 3 2" xfId="20209" xr:uid="{00000000-0005-0000-0000-000082570000}"/>
    <cellStyle name="Normal 28 2 3 3" xfId="19765" xr:uid="{00000000-0005-0000-0000-000083570000}"/>
    <cellStyle name="Normal 28 2 3 4" xfId="21478" xr:uid="{00000000-0005-0000-0000-000084570000}"/>
    <cellStyle name="Normal 28 2 3 5" xfId="22161" xr:uid="{00000000-0005-0000-0000-000085570000}"/>
    <cellStyle name="Normal 28 2 3 6" xfId="22847" xr:uid="{00000000-0005-0000-0000-000086570000}"/>
    <cellStyle name="Normal 28 2 3 7" xfId="19874" xr:uid="{00000000-0005-0000-0000-000087570000}"/>
    <cellStyle name="Normal 28 2 3 8" xfId="24272" xr:uid="{00000000-0005-0000-0000-000088570000}"/>
    <cellStyle name="Normal 28 2 3 9" xfId="24441" xr:uid="{00000000-0005-0000-0000-000089570000}"/>
    <cellStyle name="Normal 28 2 4" xfId="19610" xr:uid="{00000000-0005-0000-0000-00008A570000}"/>
    <cellStyle name="Normal 28 3" xfId="11326" xr:uid="{00000000-0005-0000-0000-00008B570000}"/>
    <cellStyle name="Normal 28 3 2" xfId="18694" xr:uid="{00000000-0005-0000-0000-00008C570000}"/>
    <cellStyle name="Normal 28 3 2 10" xfId="24681" xr:uid="{00000000-0005-0000-0000-00008D570000}"/>
    <cellStyle name="Normal 28 3 2 11" xfId="25741" xr:uid="{00000000-0005-0000-0000-00008E570000}"/>
    <cellStyle name="Normal 28 3 2 12" xfId="25534" xr:uid="{00000000-0005-0000-0000-00008F570000}"/>
    <cellStyle name="Normal 28 3 2 13" xfId="27042" xr:uid="{00000000-0005-0000-0000-000090570000}"/>
    <cellStyle name="Normal 28 3 2 2" xfId="20211" xr:uid="{00000000-0005-0000-0000-000091570000}"/>
    <cellStyle name="Normal 28 3 2 3" xfId="20770" xr:uid="{00000000-0005-0000-0000-000092570000}"/>
    <cellStyle name="Normal 28 3 2 4" xfId="20711" xr:uid="{00000000-0005-0000-0000-000093570000}"/>
    <cellStyle name="Normal 28 3 2 5" xfId="20557" xr:uid="{00000000-0005-0000-0000-000094570000}"/>
    <cellStyle name="Normal 28 3 2 6" xfId="19360" xr:uid="{00000000-0005-0000-0000-000095570000}"/>
    <cellStyle name="Normal 28 3 2 7" xfId="23580" xr:uid="{00000000-0005-0000-0000-000096570000}"/>
    <cellStyle name="Normal 28 3 2 8" xfId="22066" xr:uid="{00000000-0005-0000-0000-000097570000}"/>
    <cellStyle name="Normal 28 3 2 9" xfId="23442" xr:uid="{00000000-0005-0000-0000-000098570000}"/>
    <cellStyle name="Normal 28 3 3" xfId="19612" xr:uid="{00000000-0005-0000-0000-000099570000}"/>
    <cellStyle name="Normal 28 4" xfId="18691" xr:uid="{00000000-0005-0000-0000-00009A570000}"/>
    <cellStyle name="Normal 28 4 10" xfId="20700" xr:uid="{00000000-0005-0000-0000-00009B570000}"/>
    <cellStyle name="Normal 28 4 11" xfId="26025" xr:uid="{00000000-0005-0000-0000-00009C570000}"/>
    <cellStyle name="Normal 28 4 12" xfId="26631" xr:uid="{00000000-0005-0000-0000-00009D570000}"/>
    <cellStyle name="Normal 28 4 13" xfId="26852" xr:uid="{00000000-0005-0000-0000-00009E570000}"/>
    <cellStyle name="Normal 28 4 2" xfId="20208" xr:uid="{00000000-0005-0000-0000-00009F570000}"/>
    <cellStyle name="Normal 28 4 3" xfId="19766" xr:uid="{00000000-0005-0000-0000-0000A0570000}"/>
    <cellStyle name="Normal 28 4 4" xfId="19055" xr:uid="{00000000-0005-0000-0000-0000A1570000}"/>
    <cellStyle name="Normal 28 4 5" xfId="20579" xr:uid="{00000000-0005-0000-0000-0000A2570000}"/>
    <cellStyle name="Normal 28 4 6" xfId="19322" xr:uid="{00000000-0005-0000-0000-0000A3570000}"/>
    <cellStyle name="Normal 28 4 7" xfId="23022" xr:uid="{00000000-0005-0000-0000-0000A4570000}"/>
    <cellStyle name="Normal 28 4 8" xfId="23418" xr:uid="{00000000-0005-0000-0000-0000A5570000}"/>
    <cellStyle name="Normal 28 4 9" xfId="23073" xr:uid="{00000000-0005-0000-0000-0000A6570000}"/>
    <cellStyle name="Normal 28 5" xfId="19283" xr:uid="{00000000-0005-0000-0000-0000A7570000}"/>
    <cellStyle name="Normal 29" xfId="4697" xr:uid="{00000000-0005-0000-0000-0000A8570000}"/>
    <cellStyle name="Normal 29 2" xfId="18373" xr:uid="{00000000-0005-0000-0000-0000A9570000}"/>
    <cellStyle name="Normal 29 2 2" xfId="18514" xr:uid="{00000000-0005-0000-0000-0000AA570000}"/>
    <cellStyle name="Normal 29 2 2 2" xfId="18697" xr:uid="{00000000-0005-0000-0000-0000AB570000}"/>
    <cellStyle name="Normal 29 2 2 2 10" xfId="25606" xr:uid="{00000000-0005-0000-0000-0000AC570000}"/>
    <cellStyle name="Normal 29 2 2 2 11" xfId="25302" xr:uid="{00000000-0005-0000-0000-0000AD570000}"/>
    <cellStyle name="Normal 29 2 2 2 12" xfId="24823" xr:uid="{00000000-0005-0000-0000-0000AE570000}"/>
    <cellStyle name="Normal 29 2 2 2 13" xfId="25651" xr:uid="{00000000-0005-0000-0000-0000AF570000}"/>
    <cellStyle name="Normal 29 2 2 2 2" xfId="20214" xr:uid="{00000000-0005-0000-0000-0000B0570000}"/>
    <cellStyle name="Normal 29 2 2 2 3" xfId="20512" xr:uid="{00000000-0005-0000-0000-0000B1570000}"/>
    <cellStyle name="Normal 29 2 2 2 4" xfId="19070" xr:uid="{00000000-0005-0000-0000-0000B2570000}"/>
    <cellStyle name="Normal 29 2 2 2 5" xfId="20809" xr:uid="{00000000-0005-0000-0000-0000B3570000}"/>
    <cellStyle name="Normal 29 2 2 2 6" xfId="19167" xr:uid="{00000000-0005-0000-0000-0000B4570000}"/>
    <cellStyle name="Normal 29 2 2 2 7" xfId="22357" xr:uid="{00000000-0005-0000-0000-0000B5570000}"/>
    <cellStyle name="Normal 29 2 2 2 8" xfId="21536" xr:uid="{00000000-0005-0000-0000-0000B6570000}"/>
    <cellStyle name="Normal 29 2 2 2 9" xfId="23280" xr:uid="{00000000-0005-0000-0000-0000B7570000}"/>
    <cellStyle name="Normal 29 2 2 3" xfId="19284" xr:uid="{00000000-0005-0000-0000-0000B8570000}"/>
    <cellStyle name="Normal 29 2 3" xfId="18696" xr:uid="{00000000-0005-0000-0000-0000B9570000}"/>
    <cellStyle name="Normal 29 2 3 10" xfId="25284" xr:uid="{00000000-0005-0000-0000-0000BA570000}"/>
    <cellStyle name="Normal 29 2 3 11" xfId="21708" xr:uid="{00000000-0005-0000-0000-0000BB570000}"/>
    <cellStyle name="Normal 29 2 3 12" xfId="26387" xr:uid="{00000000-0005-0000-0000-0000BC570000}"/>
    <cellStyle name="Normal 29 2 3 13" xfId="24317" xr:uid="{00000000-0005-0000-0000-0000BD570000}"/>
    <cellStyle name="Normal 29 2 3 2" xfId="20213" xr:uid="{00000000-0005-0000-0000-0000BE570000}"/>
    <cellStyle name="Normal 29 2 3 3" xfId="19764" xr:uid="{00000000-0005-0000-0000-0000BF570000}"/>
    <cellStyle name="Normal 29 2 3 4" xfId="21485" xr:uid="{00000000-0005-0000-0000-0000C0570000}"/>
    <cellStyle name="Normal 29 2 3 5" xfId="22171" xr:uid="{00000000-0005-0000-0000-0000C1570000}"/>
    <cellStyle name="Normal 29 2 3 6" xfId="22857" xr:uid="{00000000-0005-0000-0000-0000C2570000}"/>
    <cellStyle name="Normal 29 2 3 7" xfId="21114" xr:uid="{00000000-0005-0000-0000-0000C3570000}"/>
    <cellStyle name="Normal 29 2 3 8" xfId="24286" xr:uid="{00000000-0005-0000-0000-0000C4570000}"/>
    <cellStyle name="Normal 29 2 3 9" xfId="23994" xr:uid="{00000000-0005-0000-0000-0000C5570000}"/>
    <cellStyle name="Normal 29 2 4" xfId="19414" xr:uid="{00000000-0005-0000-0000-0000C6570000}"/>
    <cellStyle name="Normal 29 3" xfId="18513" xr:uid="{00000000-0005-0000-0000-0000C7570000}"/>
    <cellStyle name="Normal 29 3 2" xfId="18698" xr:uid="{00000000-0005-0000-0000-0000C8570000}"/>
    <cellStyle name="Normal 29 3 2 10" xfId="22204" xr:uid="{00000000-0005-0000-0000-0000C9570000}"/>
    <cellStyle name="Normal 29 3 2 11" xfId="25742" xr:uid="{00000000-0005-0000-0000-0000CA570000}"/>
    <cellStyle name="Normal 29 3 2 12" xfId="26285" xr:uid="{00000000-0005-0000-0000-0000CB570000}"/>
    <cellStyle name="Normal 29 3 2 13" xfId="27030" xr:uid="{00000000-0005-0000-0000-0000CC570000}"/>
    <cellStyle name="Normal 29 3 2 2" xfId="20215" xr:uid="{00000000-0005-0000-0000-0000CD570000}"/>
    <cellStyle name="Normal 29 3 2 3" xfId="20769" xr:uid="{00000000-0005-0000-0000-0000CE570000}"/>
    <cellStyle name="Normal 29 3 2 4" xfId="19638" xr:uid="{00000000-0005-0000-0000-0000CF570000}"/>
    <cellStyle name="Normal 29 3 2 5" xfId="20038" xr:uid="{00000000-0005-0000-0000-0000D0570000}"/>
    <cellStyle name="Normal 29 3 2 6" xfId="19686" xr:uid="{00000000-0005-0000-0000-0000D1570000}"/>
    <cellStyle name="Normal 29 3 2 7" xfId="23394" xr:uid="{00000000-0005-0000-0000-0000D2570000}"/>
    <cellStyle name="Normal 29 3 2 8" xfId="20412" xr:uid="{00000000-0005-0000-0000-0000D3570000}"/>
    <cellStyle name="Normal 29 3 2 9" xfId="24443" xr:uid="{00000000-0005-0000-0000-0000D4570000}"/>
    <cellStyle name="Normal 29 3 3" xfId="19611" xr:uid="{00000000-0005-0000-0000-0000D5570000}"/>
    <cellStyle name="Normal 29 4" xfId="18695" xr:uid="{00000000-0005-0000-0000-0000D6570000}"/>
    <cellStyle name="Normal 29 4 10" xfId="20976" xr:uid="{00000000-0005-0000-0000-0000D7570000}"/>
    <cellStyle name="Normal 29 4 11" xfId="25337" xr:uid="{00000000-0005-0000-0000-0000D8570000}"/>
    <cellStyle name="Normal 29 4 12" xfId="26515" xr:uid="{00000000-0005-0000-0000-0000D9570000}"/>
    <cellStyle name="Normal 29 4 13" xfId="26433" xr:uid="{00000000-0005-0000-0000-0000DA570000}"/>
    <cellStyle name="Normal 29 4 2" xfId="20212" xr:uid="{00000000-0005-0000-0000-0000DB570000}"/>
    <cellStyle name="Normal 29 4 3" xfId="20637" xr:uid="{00000000-0005-0000-0000-0000DC570000}"/>
    <cellStyle name="Normal 29 4 4" xfId="21194" xr:uid="{00000000-0005-0000-0000-0000DD570000}"/>
    <cellStyle name="Normal 29 4 5" xfId="21826" xr:uid="{00000000-0005-0000-0000-0000DE570000}"/>
    <cellStyle name="Normal 29 4 6" xfId="22511" xr:uid="{00000000-0005-0000-0000-0000DF570000}"/>
    <cellStyle name="Normal 29 4 7" xfId="20030" xr:uid="{00000000-0005-0000-0000-0000E0570000}"/>
    <cellStyle name="Normal 29 4 8" xfId="23930" xr:uid="{00000000-0005-0000-0000-0000E1570000}"/>
    <cellStyle name="Normal 29 4 9" xfId="20979" xr:uid="{00000000-0005-0000-0000-0000E2570000}"/>
    <cellStyle name="Normal 29 5" xfId="19008" xr:uid="{00000000-0005-0000-0000-0000E3570000}"/>
    <cellStyle name="Normal 29 6" xfId="18332" xr:uid="{00000000-0005-0000-0000-0000E4570000}"/>
    <cellStyle name="Normal 3" xfId="49" xr:uid="{00000000-0005-0000-0000-0000E5570000}"/>
    <cellStyle name="Normal 3 10" xfId="727" xr:uid="{00000000-0005-0000-0000-0000E6570000}"/>
    <cellStyle name="Normal 3 10 2" xfId="3248" xr:uid="{00000000-0005-0000-0000-0000E7570000}"/>
    <cellStyle name="Normal 3 10 2 2" xfId="7642" xr:uid="{00000000-0005-0000-0000-0000E8570000}"/>
    <cellStyle name="Normal 3 10 2 2 2" xfId="16463" xr:uid="{00000000-0005-0000-0000-0000E9570000}"/>
    <cellStyle name="Normal 3 10 2 3" xfId="12056" xr:uid="{00000000-0005-0000-0000-0000EA570000}"/>
    <cellStyle name="Normal 3 10 3" xfId="5437" xr:uid="{00000000-0005-0000-0000-0000EB570000}"/>
    <cellStyle name="Normal 3 10 3 2" xfId="14258" xr:uid="{00000000-0005-0000-0000-0000EC570000}"/>
    <cellStyle name="Normal 3 10 4" xfId="9851" xr:uid="{00000000-0005-0000-0000-0000ED570000}"/>
    <cellStyle name="Normal 3 10 5" xfId="18113" xr:uid="{00000000-0005-0000-0000-0000EE570000}"/>
    <cellStyle name="Normal 3 10 6" xfId="28356" xr:uid="{00000000-0005-0000-0000-0000EF570000}"/>
    <cellStyle name="Normal 3 10 7" xfId="29278" xr:uid="{00000000-0005-0000-0000-0000F0570000}"/>
    <cellStyle name="Normal 3 11" xfId="982" xr:uid="{00000000-0005-0000-0000-0000F1570000}"/>
    <cellStyle name="Normal 3 11 2" xfId="6929" xr:uid="{00000000-0005-0000-0000-0000F2570000}"/>
    <cellStyle name="Normal 3 11 2 2" xfId="15750" xr:uid="{00000000-0005-0000-0000-0000F3570000}"/>
    <cellStyle name="Normal 3 11 3" xfId="11343" xr:uid="{00000000-0005-0000-0000-0000F4570000}"/>
    <cellStyle name="Normal 3 11 4" xfId="18114" xr:uid="{00000000-0005-0000-0000-0000F5570000}"/>
    <cellStyle name="Normal 3 11 5" xfId="28357" xr:uid="{00000000-0005-0000-0000-0000F6570000}"/>
    <cellStyle name="Normal 3 11 6" xfId="29279" xr:uid="{00000000-0005-0000-0000-0000F7570000}"/>
    <cellStyle name="Normal 3 12" xfId="4714" xr:uid="{00000000-0005-0000-0000-0000F8570000}"/>
    <cellStyle name="Normal 3 12 2" xfId="13545" xr:uid="{00000000-0005-0000-0000-0000F9570000}"/>
    <cellStyle name="Normal 3 12 3" xfId="18115" xr:uid="{00000000-0005-0000-0000-0000FA570000}"/>
    <cellStyle name="Normal 3 13" xfId="9123" xr:uid="{00000000-0005-0000-0000-0000FB570000}"/>
    <cellStyle name="Normal 3 13 10" xfId="19007" xr:uid="{00000000-0005-0000-0000-0000FC570000}"/>
    <cellStyle name="Normal 3 13 2" xfId="18188" xr:uid="{00000000-0005-0000-0000-0000FD570000}"/>
    <cellStyle name="Normal 3 13 2 2" xfId="18202" xr:uid="{00000000-0005-0000-0000-0000FE570000}"/>
    <cellStyle name="Normal 3 13 2 2 2" xfId="18259" xr:uid="{00000000-0005-0000-0000-0000FF570000}"/>
    <cellStyle name="Normal 3 13 2 2 2 2" xfId="18377" xr:uid="{00000000-0005-0000-0000-000000580000}"/>
    <cellStyle name="Normal 3 13 2 2 2 2 2" xfId="18519" xr:uid="{00000000-0005-0000-0000-000001580000}"/>
    <cellStyle name="Normal 3 13 2 2 2 2 2 2" xfId="18704" xr:uid="{00000000-0005-0000-0000-000002580000}"/>
    <cellStyle name="Normal 3 13 2 2 2 2 2 2 10" xfId="25285" xr:uid="{00000000-0005-0000-0000-000003580000}"/>
    <cellStyle name="Normal 3 13 2 2 2 2 2 2 11" xfId="24830" xr:uid="{00000000-0005-0000-0000-000004580000}"/>
    <cellStyle name="Normal 3 13 2 2 2 2 2 2 12" xfId="26287" xr:uid="{00000000-0005-0000-0000-000005580000}"/>
    <cellStyle name="Normal 3 13 2 2 2 2 2 2 13" xfId="25786" xr:uid="{00000000-0005-0000-0000-000006580000}"/>
    <cellStyle name="Normal 3 13 2 2 2 2 2 2 2" xfId="20221" xr:uid="{00000000-0005-0000-0000-000007580000}"/>
    <cellStyle name="Normal 3 13 2 2 2 2 2 2 3" xfId="20771" xr:uid="{00000000-0005-0000-0000-000008580000}"/>
    <cellStyle name="Normal 3 13 2 2 2 2 2 2 4" xfId="21331" xr:uid="{00000000-0005-0000-0000-000009580000}"/>
    <cellStyle name="Normal 3 13 2 2 2 2 2 2 5" xfId="21993" xr:uid="{00000000-0005-0000-0000-00000A580000}"/>
    <cellStyle name="Normal 3 13 2 2 2 2 2 2 6" xfId="22682" xr:uid="{00000000-0005-0000-0000-00000B580000}"/>
    <cellStyle name="Normal 3 13 2 2 2 2 2 2 7" xfId="21697" xr:uid="{00000000-0005-0000-0000-00000C580000}"/>
    <cellStyle name="Normal 3 13 2 2 2 2 2 2 8" xfId="24102" xr:uid="{00000000-0005-0000-0000-00000D580000}"/>
    <cellStyle name="Normal 3 13 2 2 2 2 2 2 9" xfId="23072" xr:uid="{00000000-0005-0000-0000-00000E580000}"/>
    <cellStyle name="Normal 3 13 2 2 2 2 2 3" xfId="19606" xr:uid="{00000000-0005-0000-0000-00000F580000}"/>
    <cellStyle name="Normal 3 13 2 2 2 2 3" xfId="18703" xr:uid="{00000000-0005-0000-0000-000010580000}"/>
    <cellStyle name="Normal 3 13 2 2 2 2 3 10" xfId="21703" xr:uid="{00000000-0005-0000-0000-000011580000}"/>
    <cellStyle name="Normal 3 13 2 2 2 2 3 11" xfId="24491" xr:uid="{00000000-0005-0000-0000-000012580000}"/>
    <cellStyle name="Normal 3 13 2 2 2 2 3 12" xfId="26052" xr:uid="{00000000-0005-0000-0000-000013580000}"/>
    <cellStyle name="Normal 3 13 2 2 2 2 3 13" xfId="24706" xr:uid="{00000000-0005-0000-0000-000014580000}"/>
    <cellStyle name="Normal 3 13 2 2 2 2 3 2" xfId="20220" xr:uid="{00000000-0005-0000-0000-000015580000}"/>
    <cellStyle name="Normal 3 13 2 2 2 2 3 3" xfId="20514" xr:uid="{00000000-0005-0000-0000-000016580000}"/>
    <cellStyle name="Normal 3 13 2 2 2 2 3 4" xfId="21039" xr:uid="{00000000-0005-0000-0000-000017580000}"/>
    <cellStyle name="Normal 3 13 2 2 2 2 3 5" xfId="21649" xr:uid="{00000000-0005-0000-0000-000018580000}"/>
    <cellStyle name="Normal 3 13 2 2 2 2 3 6" xfId="22331" xr:uid="{00000000-0005-0000-0000-000019580000}"/>
    <cellStyle name="Normal 3 13 2 2 2 2 3 7" xfId="21076" xr:uid="{00000000-0005-0000-0000-00001A580000}"/>
    <cellStyle name="Normal 3 13 2 2 2 2 3 8" xfId="23751" xr:uid="{00000000-0005-0000-0000-00001B580000}"/>
    <cellStyle name="Normal 3 13 2 2 2 2 3 9" xfId="24962" xr:uid="{00000000-0005-0000-0000-00001C580000}"/>
    <cellStyle name="Normal 3 13 2 2 2 2 4" xfId="19279" xr:uid="{00000000-0005-0000-0000-00001D580000}"/>
    <cellStyle name="Normal 3 13 2 2 2 3" xfId="18518" xr:uid="{00000000-0005-0000-0000-00001E580000}"/>
    <cellStyle name="Normal 3 13 2 2 2 3 2" xfId="18705" xr:uid="{00000000-0005-0000-0000-00001F580000}"/>
    <cellStyle name="Normal 3 13 2 2 2 3 2 10" xfId="25439" xr:uid="{00000000-0005-0000-0000-000020580000}"/>
    <cellStyle name="Normal 3 13 2 2 2 3 2 11" xfId="22887" xr:uid="{00000000-0005-0000-0000-000021580000}"/>
    <cellStyle name="Normal 3 13 2 2 2 3 2 12" xfId="26516" xr:uid="{00000000-0005-0000-0000-000022580000}"/>
    <cellStyle name="Normal 3 13 2 2 2 3 2 13" xfId="26539" xr:uid="{00000000-0005-0000-0000-000023580000}"/>
    <cellStyle name="Normal 3 13 2 2 2 3 2 2" xfId="20222" xr:uid="{00000000-0005-0000-0000-000024580000}"/>
    <cellStyle name="Normal 3 13 2 2 2 3 2 3" xfId="19761" xr:uid="{00000000-0005-0000-0000-000025580000}"/>
    <cellStyle name="Normal 3 13 2 2 2 3 2 4" xfId="19039" xr:uid="{00000000-0005-0000-0000-000026580000}"/>
    <cellStyle name="Normal 3 13 2 2 2 3 2 5" xfId="20556" xr:uid="{00000000-0005-0000-0000-000027580000}"/>
    <cellStyle name="Normal 3 13 2 2 2 3 2 6" xfId="20042" xr:uid="{00000000-0005-0000-0000-000028580000}"/>
    <cellStyle name="Normal 3 13 2 2 2 3 2 7" xfId="22581" xr:uid="{00000000-0005-0000-0000-000029580000}"/>
    <cellStyle name="Normal 3 13 2 2 2 3 2 8" xfId="21722" xr:uid="{00000000-0005-0000-0000-00002A580000}"/>
    <cellStyle name="Normal 3 13 2 2 2 3 2 9" xfId="23441" xr:uid="{00000000-0005-0000-0000-00002B580000}"/>
    <cellStyle name="Normal 3 13 2 2 2 3 3" xfId="19282" xr:uid="{00000000-0005-0000-0000-00002C580000}"/>
    <cellStyle name="Normal 3 13 2 2 2 4" xfId="18702" xr:uid="{00000000-0005-0000-0000-00002D580000}"/>
    <cellStyle name="Normal 3 13 2 2 2 4 10" xfId="21555" xr:uid="{00000000-0005-0000-0000-00002E580000}"/>
    <cellStyle name="Normal 3 13 2 2 2 4 11" xfId="25888" xr:uid="{00000000-0005-0000-0000-00002F580000}"/>
    <cellStyle name="Normal 3 13 2 2 2 4 12" xfId="25625" xr:uid="{00000000-0005-0000-0000-000030580000}"/>
    <cellStyle name="Normal 3 13 2 2 2 4 13" xfId="27044" xr:uid="{00000000-0005-0000-0000-000031580000}"/>
    <cellStyle name="Normal 3 13 2 2 2 4 2" xfId="20219" xr:uid="{00000000-0005-0000-0000-000032580000}"/>
    <cellStyle name="Normal 3 13 2 2 2 4 3" xfId="19548" xr:uid="{00000000-0005-0000-0000-000033580000}"/>
    <cellStyle name="Normal 3 13 2 2 2 4 4" xfId="19079" xr:uid="{00000000-0005-0000-0000-000034580000}"/>
    <cellStyle name="Normal 3 13 2 2 2 4 5" xfId="19058" xr:uid="{00000000-0005-0000-0000-000035580000}"/>
    <cellStyle name="Normal 3 13 2 2 2 4 6" xfId="19490" xr:uid="{00000000-0005-0000-0000-000036580000}"/>
    <cellStyle name="Normal 3 13 2 2 2 4 7" xfId="23393" xr:uid="{00000000-0005-0000-0000-000037580000}"/>
    <cellStyle name="Normal 3 13 2 2 2 4 8" xfId="21094" xr:uid="{00000000-0005-0000-0000-000038580000}"/>
    <cellStyle name="Normal 3 13 2 2 2 4 9" xfId="24622" xr:uid="{00000000-0005-0000-0000-000039580000}"/>
    <cellStyle name="Normal 3 13 2 2 2 5" xfId="19412" xr:uid="{00000000-0005-0000-0000-00003A580000}"/>
    <cellStyle name="Normal 3 13 2 2 3" xfId="18260" xr:uid="{00000000-0005-0000-0000-00003B580000}"/>
    <cellStyle name="Normal 3 13 2 2 3 2" xfId="18378" xr:uid="{00000000-0005-0000-0000-00003C580000}"/>
    <cellStyle name="Normal 3 13 2 2 3 2 2" xfId="18521" xr:uid="{00000000-0005-0000-0000-00003D580000}"/>
    <cellStyle name="Normal 3 13 2 2 3 2 2 2" xfId="18708" xr:uid="{00000000-0005-0000-0000-00003E580000}"/>
    <cellStyle name="Normal 3 13 2 2 3 2 2 2 10" xfId="25116" xr:uid="{00000000-0005-0000-0000-00003F580000}"/>
    <cellStyle name="Normal 3 13 2 2 3 2 2 2 11" xfId="21933" xr:uid="{00000000-0005-0000-0000-000040580000}"/>
    <cellStyle name="Normal 3 13 2 2 3 2 2 2 12" xfId="26405" xr:uid="{00000000-0005-0000-0000-000041580000}"/>
    <cellStyle name="Normal 3 13 2 2 3 2 2 2 13" xfId="26069" xr:uid="{00000000-0005-0000-0000-000042580000}"/>
    <cellStyle name="Normal 3 13 2 2 3 2 2 2 2" xfId="20225" xr:uid="{00000000-0005-0000-0000-000043580000}"/>
    <cellStyle name="Normal 3 13 2 2 3 2 2 2 3" xfId="20903" xr:uid="{00000000-0005-0000-0000-000044580000}"/>
    <cellStyle name="Normal 3 13 2 2 3 2 2 2 4" xfId="20536" xr:uid="{00000000-0005-0000-0000-000045580000}"/>
    <cellStyle name="Normal 3 13 2 2 3 2 2 2 5" xfId="19968" xr:uid="{00000000-0005-0000-0000-000046580000}"/>
    <cellStyle name="Normal 3 13 2 2 3 2 2 2 6" xfId="21257" xr:uid="{00000000-0005-0000-0000-000047580000}"/>
    <cellStyle name="Normal 3 13 2 2 3 2 2 2 7" xfId="23395" xr:uid="{00000000-0005-0000-0000-000048580000}"/>
    <cellStyle name="Normal 3 13 2 2 3 2 2 2 8" xfId="23049" xr:uid="{00000000-0005-0000-0000-000049580000}"/>
    <cellStyle name="Normal 3 13 2 2 3 2 2 2 9" xfId="21227" xr:uid="{00000000-0005-0000-0000-00004A580000}"/>
    <cellStyle name="Normal 3 13 2 2 3 2 2 3" xfId="19411" xr:uid="{00000000-0005-0000-0000-00004B580000}"/>
    <cellStyle name="Normal 3 13 2 2 3 2 3" xfId="18707" xr:uid="{00000000-0005-0000-0000-00004C580000}"/>
    <cellStyle name="Normal 3 13 2 2 3 2 3 10" xfId="25607" xr:uid="{00000000-0005-0000-0000-00004D580000}"/>
    <cellStyle name="Normal 3 13 2 2 3 2 3 11" xfId="26027" xr:uid="{00000000-0005-0000-0000-00004E580000}"/>
    <cellStyle name="Normal 3 13 2 2 3 2 3 12" xfId="26088" xr:uid="{00000000-0005-0000-0000-00004F580000}"/>
    <cellStyle name="Normal 3 13 2 2 3 2 3 13" xfId="26838" xr:uid="{00000000-0005-0000-0000-000050580000}"/>
    <cellStyle name="Normal 3 13 2 2 3 2 3 2" xfId="20224" xr:uid="{00000000-0005-0000-0000-000051580000}"/>
    <cellStyle name="Normal 3 13 2 2 3 2 3 3" xfId="20648" xr:uid="{00000000-0005-0000-0000-000052580000}"/>
    <cellStyle name="Normal 3 13 2 2 3 2 3 4" xfId="19544" xr:uid="{00000000-0005-0000-0000-000053580000}"/>
    <cellStyle name="Normal 3 13 2 2 3 2 3 5" xfId="21261" xr:uid="{00000000-0005-0000-0000-000054580000}"/>
    <cellStyle name="Normal 3 13 2 2 3 2 3 6" xfId="21897" xr:uid="{00000000-0005-0000-0000-000055580000}"/>
    <cellStyle name="Normal 3 13 2 2 3 2 3 7" xfId="23025" xr:uid="{00000000-0005-0000-0000-000056580000}"/>
    <cellStyle name="Normal 3 13 2 2 3 2 3 8" xfId="19877" xr:uid="{00000000-0005-0000-0000-000057580000}"/>
    <cellStyle name="Normal 3 13 2 2 3 2 3 9" xfId="24961" xr:uid="{00000000-0005-0000-0000-000058580000}"/>
    <cellStyle name="Normal 3 13 2 2 3 2 4" xfId="19005" xr:uid="{00000000-0005-0000-0000-000059580000}"/>
    <cellStyle name="Normal 3 13 2 2 3 3" xfId="18520" xr:uid="{00000000-0005-0000-0000-00005A580000}"/>
    <cellStyle name="Normal 3 13 2 2 3 3 2" xfId="18709" xr:uid="{00000000-0005-0000-0000-00005B580000}"/>
    <cellStyle name="Normal 3 13 2 2 3 3 2 10" xfId="21712" xr:uid="{00000000-0005-0000-0000-00005C580000}"/>
    <cellStyle name="Normal 3 13 2 2 3 3 2 11" xfId="26028" xr:uid="{00000000-0005-0000-0000-00005D580000}"/>
    <cellStyle name="Normal 3 13 2 2 3 3 2 12" xfId="26634" xr:uid="{00000000-0005-0000-0000-00005E580000}"/>
    <cellStyle name="Normal 3 13 2 2 3 3 2 13" xfId="26755" xr:uid="{00000000-0005-0000-0000-00005F580000}"/>
    <cellStyle name="Normal 3 13 2 2 3 3 2 2" xfId="20226" xr:uid="{00000000-0005-0000-0000-000060580000}"/>
    <cellStyle name="Normal 3 13 2 2 3 3 2 3" xfId="19760" xr:uid="{00000000-0005-0000-0000-000061580000}"/>
    <cellStyle name="Normal 3 13 2 2 3 3 2 4" xfId="21041" xr:uid="{00000000-0005-0000-0000-000062580000}"/>
    <cellStyle name="Normal 3 13 2 2 3 3 2 5" xfId="21651" xr:uid="{00000000-0005-0000-0000-000063580000}"/>
    <cellStyle name="Normal 3 13 2 2 3 3 2 6" xfId="22333" xr:uid="{00000000-0005-0000-0000-000064580000}"/>
    <cellStyle name="Normal 3 13 2 2 3 3 2 7" xfId="22039" xr:uid="{00000000-0005-0000-0000-000065580000}"/>
    <cellStyle name="Normal 3 13 2 2 3 3 2 8" xfId="23753" xr:uid="{00000000-0005-0000-0000-000066580000}"/>
    <cellStyle name="Normal 3 13 2 2 3 3 2 9" xfId="22220" xr:uid="{00000000-0005-0000-0000-000067580000}"/>
    <cellStyle name="Normal 3 13 2 2 3 3 3" xfId="19280" xr:uid="{00000000-0005-0000-0000-000068580000}"/>
    <cellStyle name="Normal 3 13 2 2 3 4" xfId="18706" xr:uid="{00000000-0005-0000-0000-000069580000}"/>
    <cellStyle name="Normal 3 13 2 2 3 4 10" xfId="23448" xr:uid="{00000000-0005-0000-0000-00006A580000}"/>
    <cellStyle name="Normal 3 13 2 2 3 4 11" xfId="25744" xr:uid="{00000000-0005-0000-0000-00006B580000}"/>
    <cellStyle name="Normal 3 13 2 2 3 4 12" xfId="25798" xr:uid="{00000000-0005-0000-0000-00006C580000}"/>
    <cellStyle name="Normal 3 13 2 2 3 4 13" xfId="26948" xr:uid="{00000000-0005-0000-0000-00006D580000}"/>
    <cellStyle name="Normal 3 13 2 2 3 4 2" xfId="20223" xr:uid="{00000000-0005-0000-0000-00006E580000}"/>
    <cellStyle name="Normal 3 13 2 2 3 4 3" xfId="19075" xr:uid="{00000000-0005-0000-0000-00006F580000}"/>
    <cellStyle name="Normal 3 13 2 2 3 4 4" xfId="19428" xr:uid="{00000000-0005-0000-0000-000070580000}"/>
    <cellStyle name="Normal 3 13 2 2 3 4 5" xfId="20808" xr:uid="{00000000-0005-0000-0000-000071580000}"/>
    <cellStyle name="Normal 3 13 2 2 3 4 6" xfId="21089" xr:uid="{00000000-0005-0000-0000-000072580000}"/>
    <cellStyle name="Normal 3 13 2 2 3 4 7" xfId="21893" xr:uid="{00000000-0005-0000-0000-000073580000}"/>
    <cellStyle name="Normal 3 13 2 2 3 4 8" xfId="21384" xr:uid="{00000000-0005-0000-0000-000074580000}"/>
    <cellStyle name="Normal 3 13 2 2 3 4 9" xfId="24621" xr:uid="{00000000-0005-0000-0000-000075580000}"/>
    <cellStyle name="Normal 3 13 2 2 3 5" xfId="19609" xr:uid="{00000000-0005-0000-0000-000076580000}"/>
    <cellStyle name="Normal 3 13 2 2 4" xfId="18258" xr:uid="{00000000-0005-0000-0000-000077580000}"/>
    <cellStyle name="Normal 3 13 2 2 4 2" xfId="18379" xr:uid="{00000000-0005-0000-0000-000078580000}"/>
    <cellStyle name="Normal 3 13 2 2 4 2 2" xfId="18523" xr:uid="{00000000-0005-0000-0000-000079580000}"/>
    <cellStyle name="Normal 3 13 2 2 4 2 2 2" xfId="18712" xr:uid="{00000000-0005-0000-0000-00007A580000}"/>
    <cellStyle name="Normal 3 13 2 2 4 2 2 2 10" xfId="25117" xr:uid="{00000000-0005-0000-0000-00007B580000}"/>
    <cellStyle name="Normal 3 13 2 2 4 2 2 2 11" xfId="24315" xr:uid="{00000000-0005-0000-0000-00007C580000}"/>
    <cellStyle name="Normal 3 13 2 2 4 2 2 2 12" xfId="26404" xr:uid="{00000000-0005-0000-0000-00007D580000}"/>
    <cellStyle name="Normal 3 13 2 2 4 2 2 2 13" xfId="22927" xr:uid="{00000000-0005-0000-0000-00007E580000}"/>
    <cellStyle name="Normal 3 13 2 2 4 2 2 2 2" xfId="20229" xr:uid="{00000000-0005-0000-0000-00007F580000}"/>
    <cellStyle name="Normal 3 13 2 2 4 2 2 2 3" xfId="20902" xr:uid="{00000000-0005-0000-0000-000080580000}"/>
    <cellStyle name="Normal 3 13 2 2 4 2 2 2 4" xfId="19126" xr:uid="{00000000-0005-0000-0000-000081580000}"/>
    <cellStyle name="Normal 3 13 2 2 4 2 2 2 5" xfId="19998" xr:uid="{00000000-0005-0000-0000-000082580000}"/>
    <cellStyle name="Normal 3 13 2 2 4 2 2 2 6" xfId="21255" xr:uid="{00000000-0005-0000-0000-000083580000}"/>
    <cellStyle name="Normal 3 13 2 2 4 2 2 2 7" xfId="23583" xr:uid="{00000000-0005-0000-0000-000084580000}"/>
    <cellStyle name="Normal 3 13 2 2 4 2 2 2 8" xfId="19866" xr:uid="{00000000-0005-0000-0000-000085580000}"/>
    <cellStyle name="Normal 3 13 2 2 4 2 2 2 9" xfId="22886" xr:uid="{00000000-0005-0000-0000-000086580000}"/>
    <cellStyle name="Normal 3 13 2 2 4 2 2 3" xfId="19608" xr:uid="{00000000-0005-0000-0000-000087580000}"/>
    <cellStyle name="Normal 3 13 2 2 4 2 3" xfId="18711" xr:uid="{00000000-0005-0000-0000-000088580000}"/>
    <cellStyle name="Normal 3 13 2 2 4 2 3 10" xfId="23991" xr:uid="{00000000-0005-0000-0000-000089580000}"/>
    <cellStyle name="Normal 3 13 2 2 4 2 3 11" xfId="23628" xr:uid="{00000000-0005-0000-0000-00008A580000}"/>
    <cellStyle name="Normal 3 13 2 2 4 2 3 12" xfId="25654" xr:uid="{00000000-0005-0000-0000-00008B580000}"/>
    <cellStyle name="Normal 3 13 2 2 4 2 3 13" xfId="25361" xr:uid="{00000000-0005-0000-0000-00008C580000}"/>
    <cellStyle name="Normal 3 13 2 2 4 2 3 2" xfId="20228" xr:uid="{00000000-0005-0000-0000-00008D580000}"/>
    <cellStyle name="Normal 3 13 2 2 4 2 3 3" xfId="20647" xr:uid="{00000000-0005-0000-0000-00008E580000}"/>
    <cellStyle name="Normal 3 13 2 2 4 2 3 4" xfId="19071" xr:uid="{00000000-0005-0000-0000-00008F580000}"/>
    <cellStyle name="Normal 3 13 2 2 4 2 3 5" xfId="20037" xr:uid="{00000000-0005-0000-0000-000090580000}"/>
    <cellStyle name="Normal 3 13 2 2 4 2 3 6" xfId="21379" xr:uid="{00000000-0005-0000-0000-000091580000}"/>
    <cellStyle name="Normal 3 13 2 2 4 2 3 7" xfId="23216" xr:uid="{00000000-0005-0000-0000-000092580000}"/>
    <cellStyle name="Normal 3 13 2 2 4 2 3 8" xfId="21686" xr:uid="{00000000-0005-0000-0000-000093580000}"/>
    <cellStyle name="Normal 3 13 2 2 4 2 3 9" xfId="24788" xr:uid="{00000000-0005-0000-0000-000094580000}"/>
    <cellStyle name="Normal 3 13 2 2 4 2 4" xfId="19281" xr:uid="{00000000-0005-0000-0000-000095580000}"/>
    <cellStyle name="Normal 3 13 2 2 4 3" xfId="18522" xr:uid="{00000000-0005-0000-0000-000096580000}"/>
    <cellStyle name="Normal 3 13 2 2 4 3 2" xfId="18713" xr:uid="{00000000-0005-0000-0000-000097580000}"/>
    <cellStyle name="Normal 3 13 2 2 4 3 2 10" xfId="25604" xr:uid="{00000000-0005-0000-0000-000098580000}"/>
    <cellStyle name="Normal 3 13 2 2 4 3 2 11" xfId="22424" xr:uid="{00000000-0005-0000-0000-000099580000}"/>
    <cellStyle name="Normal 3 13 2 2 4 3 2 12" xfId="26633" xr:uid="{00000000-0005-0000-0000-00009A580000}"/>
    <cellStyle name="Normal 3 13 2 2 4 3 2 13" xfId="26550" xr:uid="{00000000-0005-0000-0000-00009B580000}"/>
    <cellStyle name="Normal 3 13 2 2 4 3 2 2" xfId="20230" xr:uid="{00000000-0005-0000-0000-00009C580000}"/>
    <cellStyle name="Normal 3 13 2 2 4 3 2 3" xfId="19758" xr:uid="{00000000-0005-0000-0000-00009D580000}"/>
    <cellStyle name="Normal 3 13 2 2 4 3 2 4" xfId="21197" xr:uid="{00000000-0005-0000-0000-00009E580000}"/>
    <cellStyle name="Normal 3 13 2 2 4 3 2 5" xfId="21829" xr:uid="{00000000-0005-0000-0000-00009F580000}"/>
    <cellStyle name="Normal 3 13 2 2 4 3 2 6" xfId="22514" xr:uid="{00000000-0005-0000-0000-0000A0580000}"/>
    <cellStyle name="Normal 3 13 2 2 4 3 2 7" xfId="19439" xr:uid="{00000000-0005-0000-0000-0000A1580000}"/>
    <cellStyle name="Normal 3 13 2 2 4 3 2 8" xfId="23933" xr:uid="{00000000-0005-0000-0000-0000A2580000}"/>
    <cellStyle name="Normal 3 13 2 2 4 3 2 9" xfId="24963" xr:uid="{00000000-0005-0000-0000-0000A3580000}"/>
    <cellStyle name="Normal 3 13 2 2 4 3 3" xfId="19004" xr:uid="{00000000-0005-0000-0000-0000A4580000}"/>
    <cellStyle name="Normal 3 13 2 2 4 4" xfId="18710" xr:uid="{00000000-0005-0000-0000-0000A5580000}"/>
    <cellStyle name="Normal 3 13 2 2 4 4 10" xfId="19529" xr:uid="{00000000-0005-0000-0000-0000A6580000}"/>
    <cellStyle name="Normal 3 13 2 2 4 4 11" xfId="25743" xr:uid="{00000000-0005-0000-0000-0000A7580000}"/>
    <cellStyle name="Normal 3 13 2 2 4 4 12" xfId="25204" xr:uid="{00000000-0005-0000-0000-0000A8580000}"/>
    <cellStyle name="Normal 3 13 2 2 4 4 13" xfId="26947" xr:uid="{00000000-0005-0000-0000-0000A9580000}"/>
    <cellStyle name="Normal 3 13 2 2 4 4 2" xfId="20227" xr:uid="{00000000-0005-0000-0000-0000AA580000}"/>
    <cellStyle name="Normal 3 13 2 2 4 4 3" xfId="19759" xr:uid="{00000000-0005-0000-0000-0000AB580000}"/>
    <cellStyle name="Normal 3 13 2 2 4 4 4" xfId="21333" xr:uid="{00000000-0005-0000-0000-0000AC580000}"/>
    <cellStyle name="Normal 3 13 2 2 4 4 5" xfId="21995" xr:uid="{00000000-0005-0000-0000-0000AD580000}"/>
    <cellStyle name="Normal 3 13 2 2 4 4 6" xfId="22684" xr:uid="{00000000-0005-0000-0000-0000AE580000}"/>
    <cellStyle name="Normal 3 13 2 2 4 4 7" xfId="21891" xr:uid="{00000000-0005-0000-0000-0000AF580000}"/>
    <cellStyle name="Normal 3 13 2 2 4 4 8" xfId="24104" xr:uid="{00000000-0005-0000-0000-0000B0580000}"/>
    <cellStyle name="Normal 3 13 2 2 4 4 9" xfId="24623" xr:uid="{00000000-0005-0000-0000-0000B1580000}"/>
    <cellStyle name="Normal 3 13 2 2 4 5" xfId="19607" xr:uid="{00000000-0005-0000-0000-0000B2580000}"/>
    <cellStyle name="Normal 3 13 2 2 5" xfId="18376" xr:uid="{00000000-0005-0000-0000-0000B3580000}"/>
    <cellStyle name="Normal 3 13 2 2 5 2" xfId="18524" xr:uid="{00000000-0005-0000-0000-0000B4580000}"/>
    <cellStyle name="Normal 3 13 2 2 5 2 2" xfId="18715" xr:uid="{00000000-0005-0000-0000-0000B5580000}"/>
    <cellStyle name="Normal 3 13 2 2 5 2 2 10" xfId="25440" xr:uid="{00000000-0005-0000-0000-0000B6580000}"/>
    <cellStyle name="Normal 3 13 2 2 5 2 2 11" xfId="26173" xr:uid="{00000000-0005-0000-0000-0000B7580000}"/>
    <cellStyle name="Normal 3 13 2 2 5 2 2 12" xfId="24528" xr:uid="{00000000-0005-0000-0000-0000B8580000}"/>
    <cellStyle name="Normal 3 13 2 2 5 2 2 13" xfId="26757" xr:uid="{00000000-0005-0000-0000-0000B9580000}"/>
    <cellStyle name="Normal 3 13 2 2 5 2 2 2" xfId="20232" xr:uid="{00000000-0005-0000-0000-0000BA580000}"/>
    <cellStyle name="Normal 3 13 2 2 5 2 2 3" xfId="20649" xr:uid="{00000000-0005-0000-0000-0000BB580000}"/>
    <cellStyle name="Normal 3 13 2 2 5 2 2 4" xfId="19508" xr:uid="{00000000-0005-0000-0000-0000BC580000}"/>
    <cellStyle name="Normal 3 13 2 2 5 2 2 5" xfId="19076" xr:uid="{00000000-0005-0000-0000-0000BD580000}"/>
    <cellStyle name="Normal 3 13 2 2 5 2 2 6" xfId="20485" xr:uid="{00000000-0005-0000-0000-0000BE580000}"/>
    <cellStyle name="Normal 3 13 2 2 5 2 2 7" xfId="23215" xr:uid="{00000000-0005-0000-0000-0000BF580000}"/>
    <cellStyle name="Normal 3 13 2 2 5 2 2 8" xfId="22381" xr:uid="{00000000-0005-0000-0000-0000C0580000}"/>
    <cellStyle name="Normal 3 13 2 2 5 2 2 9" xfId="23257" xr:uid="{00000000-0005-0000-0000-0000C1580000}"/>
    <cellStyle name="Normal 3 13 2 2 5 2 3" xfId="19003" xr:uid="{00000000-0005-0000-0000-0000C2580000}"/>
    <cellStyle name="Normal 3 13 2 2 5 3" xfId="18714" xr:uid="{00000000-0005-0000-0000-0000C3580000}"/>
    <cellStyle name="Normal 3 13 2 2 5 3 10" xfId="22904" xr:uid="{00000000-0005-0000-0000-0000C4580000}"/>
    <cellStyle name="Normal 3 13 2 2 5 3 11" xfId="25893" xr:uid="{00000000-0005-0000-0000-0000C5580000}"/>
    <cellStyle name="Normal 3 13 2 2 5 3 12" xfId="26081" xr:uid="{00000000-0005-0000-0000-0000C6580000}"/>
    <cellStyle name="Normal 3 13 2 2 5 3 13" xfId="25932" xr:uid="{00000000-0005-0000-0000-0000C7580000}"/>
    <cellStyle name="Normal 3 13 2 2 5 3 2" xfId="20231" xr:uid="{00000000-0005-0000-0000-0000C8580000}"/>
    <cellStyle name="Normal 3 13 2 2 5 3 3" xfId="19757" xr:uid="{00000000-0005-0000-0000-0000C9580000}"/>
    <cellStyle name="Normal 3 13 2 2 5 3 4" xfId="21488" xr:uid="{00000000-0005-0000-0000-0000CA580000}"/>
    <cellStyle name="Normal 3 13 2 2 5 3 5" xfId="22174" xr:uid="{00000000-0005-0000-0000-0000CB580000}"/>
    <cellStyle name="Normal 3 13 2 2 5 3 6" xfId="22860" xr:uid="{00000000-0005-0000-0000-0000CC580000}"/>
    <cellStyle name="Normal 3 13 2 2 5 3 7" xfId="20029" xr:uid="{00000000-0005-0000-0000-0000CD580000}"/>
    <cellStyle name="Normal 3 13 2 2 5 3 8" xfId="24289" xr:uid="{00000000-0005-0000-0000-0000CE580000}"/>
    <cellStyle name="Normal 3 13 2 2 5 3 9" xfId="24444" xr:uid="{00000000-0005-0000-0000-0000CF580000}"/>
    <cellStyle name="Normal 3 13 2 2 5 4" xfId="19410" xr:uid="{00000000-0005-0000-0000-0000D0580000}"/>
    <cellStyle name="Normal 3 13 2 2 6" xfId="18517" xr:uid="{00000000-0005-0000-0000-0000D1580000}"/>
    <cellStyle name="Normal 3 13 2 2 6 2" xfId="18716" xr:uid="{00000000-0005-0000-0000-0000D2580000}"/>
    <cellStyle name="Normal 3 13 2 2 6 2 10" xfId="25282" xr:uid="{00000000-0005-0000-0000-0000D3580000}"/>
    <cellStyle name="Normal 3 13 2 2 6 2 11" xfId="24658" xr:uid="{00000000-0005-0000-0000-0000D4580000}"/>
    <cellStyle name="Normal 3 13 2 2 6 2 12" xfId="26406" xr:uid="{00000000-0005-0000-0000-0000D5580000}"/>
    <cellStyle name="Normal 3 13 2 2 6 2 13" xfId="26949" xr:uid="{00000000-0005-0000-0000-0000D6580000}"/>
    <cellStyle name="Normal 3 13 2 2 6 2 2" xfId="20233" xr:uid="{00000000-0005-0000-0000-0000D7580000}"/>
    <cellStyle name="Normal 3 13 2 2 6 2 3" xfId="20772" xr:uid="{00000000-0005-0000-0000-0000D8580000}"/>
    <cellStyle name="Normal 3 13 2 2 6 2 4" xfId="19166" xr:uid="{00000000-0005-0000-0000-0000D9580000}"/>
    <cellStyle name="Normal 3 13 2 2 6 2 5" xfId="20427" xr:uid="{00000000-0005-0000-0000-0000DA580000}"/>
    <cellStyle name="Normal 3 13 2 2 6 2 6" xfId="20703" xr:uid="{00000000-0005-0000-0000-0000DB580000}"/>
    <cellStyle name="Normal 3 13 2 2 6 2 7" xfId="23582" xr:uid="{00000000-0005-0000-0000-0000DC580000}"/>
    <cellStyle name="Normal 3 13 2 2 6 2 8" xfId="22729" xr:uid="{00000000-0005-0000-0000-0000DD580000}"/>
    <cellStyle name="Normal 3 13 2 2 6 2 9" xfId="22441" xr:uid="{00000000-0005-0000-0000-0000DE580000}"/>
    <cellStyle name="Normal 3 13 2 2 6 3" xfId="19409" xr:uid="{00000000-0005-0000-0000-0000DF580000}"/>
    <cellStyle name="Normal 3 13 2 2 7" xfId="18701" xr:uid="{00000000-0005-0000-0000-0000E0580000}"/>
    <cellStyle name="Normal 3 13 2 2 7 10" xfId="25605" xr:uid="{00000000-0005-0000-0000-0000E1580000}"/>
    <cellStyle name="Normal 3 13 2 2 7 11" xfId="26026" xr:uid="{00000000-0005-0000-0000-0000E2580000}"/>
    <cellStyle name="Normal 3 13 2 2 7 12" xfId="26082" xr:uid="{00000000-0005-0000-0000-0000E3580000}"/>
    <cellStyle name="Normal 3 13 2 2 7 13" xfId="26853" xr:uid="{00000000-0005-0000-0000-0000E4580000}"/>
    <cellStyle name="Normal 3 13 2 2 7 2" xfId="20218" xr:uid="{00000000-0005-0000-0000-0000E5580000}"/>
    <cellStyle name="Normal 3 13 2 2 7 3" xfId="19646" xr:uid="{00000000-0005-0000-0000-0000E6580000}"/>
    <cellStyle name="Normal 3 13 2 2 7 4" xfId="21187" xr:uid="{00000000-0005-0000-0000-0000E7580000}"/>
    <cellStyle name="Normal 3 13 2 2 7 5" xfId="21816" xr:uid="{00000000-0005-0000-0000-0000E8580000}"/>
    <cellStyle name="Normal 3 13 2 2 7 6" xfId="22501" xr:uid="{00000000-0005-0000-0000-0000E9580000}"/>
    <cellStyle name="Normal 3 13 2 2 7 7" xfId="23023" xr:uid="{00000000-0005-0000-0000-0000EA580000}"/>
    <cellStyle name="Normal 3 13 2 2 7 8" xfId="23915" xr:uid="{00000000-0005-0000-0000-0000EB580000}"/>
    <cellStyle name="Normal 3 13 2 2 7 9" xfId="22785" xr:uid="{00000000-0005-0000-0000-0000EC580000}"/>
    <cellStyle name="Normal 3 13 2 2 8" xfId="19006" xr:uid="{00000000-0005-0000-0000-0000ED580000}"/>
    <cellStyle name="Normal 3 13 2 2_Fordelinger" xfId="18261" xr:uid="{00000000-0005-0000-0000-0000EE580000}"/>
    <cellStyle name="Normal 3 13 2 3" xfId="18262" xr:uid="{00000000-0005-0000-0000-0000EF580000}"/>
    <cellStyle name="Normal 3 13 2 3 2" xfId="18380" xr:uid="{00000000-0005-0000-0000-0000F0580000}"/>
    <cellStyle name="Normal 3 13 2 3 2 2" xfId="18526" xr:uid="{00000000-0005-0000-0000-0000F1580000}"/>
    <cellStyle name="Normal 3 13 2 3 2 2 2" xfId="18719" xr:uid="{00000000-0005-0000-0000-0000F2580000}"/>
    <cellStyle name="Normal 3 13 2 3 2 2 2 10" xfId="22397" xr:uid="{00000000-0005-0000-0000-0000F3580000}"/>
    <cellStyle name="Normal 3 13 2 3 2 2 2 11" xfId="23851" xr:uid="{00000000-0005-0000-0000-0000F4580000}"/>
    <cellStyle name="Normal 3 13 2 3 2 2 2 12" xfId="26635" xr:uid="{00000000-0005-0000-0000-0000F5580000}"/>
    <cellStyle name="Normal 3 13 2 3 2 2 2 13" xfId="26856" xr:uid="{00000000-0005-0000-0000-0000F6580000}"/>
    <cellStyle name="Normal 3 13 2 3 2 2 2 2" xfId="20236" xr:uid="{00000000-0005-0000-0000-0000F7580000}"/>
    <cellStyle name="Normal 3 13 2 3 2 2 2 3" xfId="20515" xr:uid="{00000000-0005-0000-0000-0000F8580000}"/>
    <cellStyle name="Normal 3 13 2 3 2 2 2 4" xfId="18957" xr:uid="{00000000-0005-0000-0000-0000F9580000}"/>
    <cellStyle name="Normal 3 13 2 3 2 2 2 5" xfId="20685" xr:uid="{00000000-0005-0000-0000-0000FA580000}"/>
    <cellStyle name="Normal 3 13 2 3 2 2 2 6" xfId="21088" xr:uid="{00000000-0005-0000-0000-0000FB580000}"/>
    <cellStyle name="Normal 3 13 2 3 2 2 2 7" xfId="23217" xr:uid="{00000000-0005-0000-0000-0000FC580000}"/>
    <cellStyle name="Normal 3 13 2 3 2 2 2 8" xfId="19908" xr:uid="{00000000-0005-0000-0000-0000FD580000}"/>
    <cellStyle name="Normal 3 13 2 3 2 2 2 9" xfId="24960" xr:uid="{00000000-0005-0000-0000-0000FE580000}"/>
    <cellStyle name="Normal 3 13 2 3 2 2 3" xfId="19593" xr:uid="{00000000-0005-0000-0000-0000FF580000}"/>
    <cellStyle name="Normal 3 13 2 3 2 3" xfId="18718" xr:uid="{00000000-0005-0000-0000-000000590000}"/>
    <cellStyle name="Normal 3 13 2 3 2 3 10" xfId="23800" xr:uid="{00000000-0005-0000-0000-000001590000}"/>
    <cellStyle name="Normal 3 13 2 3 2 3 11" xfId="25894" xr:uid="{00000000-0005-0000-0000-000002590000}"/>
    <cellStyle name="Normal 3 13 2 3 2 3 12" xfId="25203" xr:uid="{00000000-0005-0000-0000-000003590000}"/>
    <cellStyle name="Normal 3 13 2 3 2 3 13" xfId="25791" xr:uid="{00000000-0005-0000-0000-000004590000}"/>
    <cellStyle name="Normal 3 13 2 3 2 3 2" xfId="20235" xr:uid="{00000000-0005-0000-0000-000005590000}"/>
    <cellStyle name="Normal 3 13 2 3 2 3 3" xfId="20904" xr:uid="{00000000-0005-0000-0000-000006590000}"/>
    <cellStyle name="Normal 3 13 2 3 2 3 4" xfId="21487" xr:uid="{00000000-0005-0000-0000-000007590000}"/>
    <cellStyle name="Normal 3 13 2 3 2 3 5" xfId="22173" xr:uid="{00000000-0005-0000-0000-000008590000}"/>
    <cellStyle name="Normal 3 13 2 3 2 3 6" xfId="22859" xr:uid="{00000000-0005-0000-0000-000009590000}"/>
    <cellStyle name="Normal 3 13 2 3 2 3 7" xfId="22038" xr:uid="{00000000-0005-0000-0000-00000A590000}"/>
    <cellStyle name="Normal 3 13 2 3 2 3 8" xfId="24288" xr:uid="{00000000-0005-0000-0000-00000B590000}"/>
    <cellStyle name="Normal 3 13 2 3 2 3 9" xfId="24445" xr:uid="{00000000-0005-0000-0000-00000C590000}"/>
    <cellStyle name="Normal 3 13 2 3 2 4" xfId="19267" xr:uid="{00000000-0005-0000-0000-00000D590000}"/>
    <cellStyle name="Normal 3 13 2 3 3" xfId="18525" xr:uid="{00000000-0005-0000-0000-00000E590000}"/>
    <cellStyle name="Normal 3 13 2 3 3 2" xfId="18720" xr:uid="{00000000-0005-0000-0000-00000F590000}"/>
    <cellStyle name="Normal 3 13 2 3 3 2 10" xfId="25119" xr:uid="{00000000-0005-0000-0000-000010590000}"/>
    <cellStyle name="Normal 3 13 2 3 3 2 11" xfId="23312" xr:uid="{00000000-0005-0000-0000-000011590000}"/>
    <cellStyle name="Normal 3 13 2 3 3 2 12" xfId="26288" xr:uid="{00000000-0005-0000-0000-000012590000}"/>
    <cellStyle name="Normal 3 13 2 3 3 2 13" xfId="27047" xr:uid="{00000000-0005-0000-0000-000013590000}"/>
    <cellStyle name="Normal 3 13 2 3 3 2 2" xfId="20237" xr:uid="{00000000-0005-0000-0000-000014590000}"/>
    <cellStyle name="Normal 3 13 2 3 3 2 3" xfId="19755" xr:uid="{00000000-0005-0000-0000-000015590000}"/>
    <cellStyle name="Normal 3 13 2 3 3 2 4" xfId="19168" xr:uid="{00000000-0005-0000-0000-000016590000}"/>
    <cellStyle name="Normal 3 13 2 3 3 2 5" xfId="20036" xr:uid="{00000000-0005-0000-0000-000017590000}"/>
    <cellStyle name="Normal 3 13 2 3 3 2 6" xfId="21378" xr:uid="{00000000-0005-0000-0000-000018590000}"/>
    <cellStyle name="Normal 3 13 2 3 3 2 7" xfId="23396" xr:uid="{00000000-0005-0000-0000-000019590000}"/>
    <cellStyle name="Normal 3 13 2 3 3 2 8" xfId="21093" xr:uid="{00000000-0005-0000-0000-00001A590000}"/>
    <cellStyle name="Normal 3 13 2 3 3 2 9" xfId="20720" xr:uid="{00000000-0005-0000-0000-00001B590000}"/>
    <cellStyle name="Normal 3 13 2 3 3 3" xfId="19278" xr:uid="{00000000-0005-0000-0000-00001C590000}"/>
    <cellStyle name="Normal 3 13 2 3 4" xfId="18717" xr:uid="{00000000-0005-0000-0000-00001D590000}"/>
    <cellStyle name="Normal 3 13 2 3 4 10" xfId="21109" xr:uid="{00000000-0005-0000-0000-00001E590000}"/>
    <cellStyle name="Normal 3 13 2 3 4 11" xfId="26172" xr:uid="{00000000-0005-0000-0000-00001F590000}"/>
    <cellStyle name="Normal 3 13 2 3 4 12" xfId="26517" xr:uid="{00000000-0005-0000-0000-000020590000}"/>
    <cellStyle name="Normal 3 13 2 3 4 13" xfId="25784" xr:uid="{00000000-0005-0000-0000-000021590000}"/>
    <cellStyle name="Normal 3 13 2 3 4 2" xfId="20234" xr:uid="{00000000-0005-0000-0000-000022590000}"/>
    <cellStyle name="Normal 3 13 2 3 4 3" xfId="19756" xr:uid="{00000000-0005-0000-0000-000023590000}"/>
    <cellStyle name="Normal 3 13 2 3 4 4" xfId="21196" xr:uid="{00000000-0005-0000-0000-000024590000}"/>
    <cellStyle name="Normal 3 13 2 3 4 5" xfId="21828" xr:uid="{00000000-0005-0000-0000-000025590000}"/>
    <cellStyle name="Normal 3 13 2 3 4 6" xfId="22513" xr:uid="{00000000-0005-0000-0000-000026590000}"/>
    <cellStyle name="Normal 3 13 2 3 4 7" xfId="21696" xr:uid="{00000000-0005-0000-0000-000027590000}"/>
    <cellStyle name="Normal 3 13 2 3 4 8" xfId="23932" xr:uid="{00000000-0005-0000-0000-000028590000}"/>
    <cellStyle name="Normal 3 13 2 3 4 9" xfId="21578" xr:uid="{00000000-0005-0000-0000-000029590000}"/>
    <cellStyle name="Normal 3 13 2 3 5" xfId="19408" xr:uid="{00000000-0005-0000-0000-00002A590000}"/>
    <cellStyle name="Normal 3 13 2 4" xfId="18263" xr:uid="{00000000-0005-0000-0000-00002B590000}"/>
    <cellStyle name="Normal 3 13 2 4 2" xfId="18381" xr:uid="{00000000-0005-0000-0000-00002C590000}"/>
    <cellStyle name="Normal 3 13 2 4 2 2" xfId="18528" xr:uid="{00000000-0005-0000-0000-00002D590000}"/>
    <cellStyle name="Normal 3 13 2 4 2 2 2" xfId="18723" xr:uid="{00000000-0005-0000-0000-00002E590000}"/>
    <cellStyle name="Normal 3 13 2 4 2 2 2 10" xfId="25442" xr:uid="{00000000-0005-0000-0000-00002F590000}"/>
    <cellStyle name="Normal 3 13 2 4 2 2 2 11" xfId="26029" xr:uid="{00000000-0005-0000-0000-000030590000}"/>
    <cellStyle name="Normal 3 13 2 4 2 2 2 12" xfId="20990" xr:uid="{00000000-0005-0000-0000-000031590000}"/>
    <cellStyle name="Normal 3 13 2 4 2 2 2 13" xfId="26855" xr:uid="{00000000-0005-0000-0000-000032590000}"/>
    <cellStyle name="Normal 3 13 2 4 2 2 2 2" xfId="20240" xr:uid="{00000000-0005-0000-0000-000033590000}"/>
    <cellStyle name="Normal 3 13 2 4 2 2 2 3" xfId="20516" xr:uid="{00000000-0005-0000-0000-000034590000}"/>
    <cellStyle name="Normal 3 13 2 4 2 2 2 4" xfId="19112" xr:uid="{00000000-0005-0000-0000-000035590000}"/>
    <cellStyle name="Normal 3 13 2 4 2 2 2 5" xfId="19434" xr:uid="{00000000-0005-0000-0000-000036590000}"/>
    <cellStyle name="Normal 3 13 2 4 2 2 2 6" xfId="20870" xr:uid="{00000000-0005-0000-0000-000037590000}"/>
    <cellStyle name="Normal 3 13 2 4 2 2 2 7" xfId="23026" xr:uid="{00000000-0005-0000-0000-000038590000}"/>
    <cellStyle name="Normal 3 13 2 4 2 2 2 8" xfId="22380" xr:uid="{00000000-0005-0000-0000-000039590000}"/>
    <cellStyle name="Normal 3 13 2 4 2 2 2 9" xfId="22735" xr:uid="{00000000-0005-0000-0000-00003A590000}"/>
    <cellStyle name="Normal 3 13 2 4 2 2 3" xfId="19407" xr:uid="{00000000-0005-0000-0000-00003B590000}"/>
    <cellStyle name="Normal 3 13 2 4 2 3" xfId="18722" xr:uid="{00000000-0005-0000-0000-00003C590000}"/>
    <cellStyle name="Normal 3 13 2 4 2 3 10" xfId="24150" xr:uid="{00000000-0005-0000-0000-00003D590000}"/>
    <cellStyle name="Normal 3 13 2 4 2 3 11" xfId="25895" xr:uid="{00000000-0005-0000-0000-00003E590000}"/>
    <cellStyle name="Normal 3 13 2 4 2 3 12" xfId="25936" xr:uid="{00000000-0005-0000-0000-00003F590000}"/>
    <cellStyle name="Normal 3 13 2 4 2 3 13" xfId="20993" xr:uid="{00000000-0005-0000-0000-000040590000}"/>
    <cellStyle name="Normal 3 13 2 4 2 3 2" xfId="20239" xr:uid="{00000000-0005-0000-0000-000041590000}"/>
    <cellStyle name="Normal 3 13 2 4 2 3 3" xfId="19201" xr:uid="{00000000-0005-0000-0000-000042590000}"/>
    <cellStyle name="Normal 3 13 2 4 2 3 4" xfId="21334" xr:uid="{00000000-0005-0000-0000-000043590000}"/>
    <cellStyle name="Normal 3 13 2 4 2 3 5" xfId="21996" xr:uid="{00000000-0005-0000-0000-000044590000}"/>
    <cellStyle name="Normal 3 13 2 4 2 3 6" xfId="22685" xr:uid="{00000000-0005-0000-0000-000045590000}"/>
    <cellStyle name="Normal 3 13 2 4 2 3 7" xfId="23584" xr:uid="{00000000-0005-0000-0000-000046590000}"/>
    <cellStyle name="Normal 3 13 2 4 2 3 8" xfId="24105" xr:uid="{00000000-0005-0000-0000-000047590000}"/>
    <cellStyle name="Normal 3 13 2 4 2 3 9" xfId="24620" xr:uid="{00000000-0005-0000-0000-000048590000}"/>
    <cellStyle name="Normal 3 13 2 4 2 4" xfId="19002" xr:uid="{00000000-0005-0000-0000-000049590000}"/>
    <cellStyle name="Normal 3 13 2 4 3" xfId="18527" xr:uid="{00000000-0005-0000-0000-00004A590000}"/>
    <cellStyle name="Normal 3 13 2 4 3 2" xfId="18724" xr:uid="{00000000-0005-0000-0000-00004B590000}"/>
    <cellStyle name="Normal 3 13 2 4 3 2 10" xfId="25118" xr:uid="{00000000-0005-0000-0000-00004C590000}"/>
    <cellStyle name="Normal 3 13 2 4 3 2 11" xfId="24156" xr:uid="{00000000-0005-0000-0000-00004D590000}"/>
    <cellStyle name="Normal 3 13 2 4 3 2 12" xfId="26289" xr:uid="{00000000-0005-0000-0000-00004E590000}"/>
    <cellStyle name="Normal 3 13 2 4 3 2 13" xfId="27046" xr:uid="{00000000-0005-0000-0000-00004F590000}"/>
    <cellStyle name="Normal 3 13 2 4 3 2 2" xfId="20241" xr:uid="{00000000-0005-0000-0000-000050590000}"/>
    <cellStyle name="Normal 3 13 2 4 3 2 3" xfId="20901" xr:uid="{00000000-0005-0000-0000-000051590000}"/>
    <cellStyle name="Normal 3 13 2 4 3 2 4" xfId="21489" xr:uid="{00000000-0005-0000-0000-000052590000}"/>
    <cellStyle name="Normal 3 13 2 4 3 2 5" xfId="22175" xr:uid="{00000000-0005-0000-0000-000053590000}"/>
    <cellStyle name="Normal 3 13 2 4 3 2 6" xfId="22861" xr:uid="{00000000-0005-0000-0000-000054590000}"/>
    <cellStyle name="Normal 3 13 2 4 3 2 7" xfId="20952" xr:uid="{00000000-0005-0000-0000-000055590000}"/>
    <cellStyle name="Normal 3 13 2 4 3 2 8" xfId="24290" xr:uid="{00000000-0005-0000-0000-000056590000}"/>
    <cellStyle name="Normal 3 13 2 4 3 2 9" xfId="21918" xr:uid="{00000000-0005-0000-0000-000057590000}"/>
    <cellStyle name="Normal 3 13 2 4 3 3" xfId="19276" xr:uid="{00000000-0005-0000-0000-000058590000}"/>
    <cellStyle name="Normal 3 13 2 4 4" xfId="18721" xr:uid="{00000000-0005-0000-0000-000059590000}"/>
    <cellStyle name="Normal 3 13 2 4 4 10" xfId="25441" xr:uid="{00000000-0005-0000-0000-00005A590000}"/>
    <cellStyle name="Normal 3 13 2 4 4 11" xfId="20867" xr:uid="{00000000-0005-0000-0000-00005B590000}"/>
    <cellStyle name="Normal 3 13 2 4 4 12" xfId="25653" xr:uid="{00000000-0005-0000-0000-00005C590000}"/>
    <cellStyle name="Normal 3 13 2 4 4 13" xfId="26067" xr:uid="{00000000-0005-0000-0000-00005D590000}"/>
    <cellStyle name="Normal 3 13 2 4 4 2" xfId="20238" xr:uid="{00000000-0005-0000-0000-00005E590000}"/>
    <cellStyle name="Normal 3 13 2 4 4 3" xfId="19754" xr:uid="{00000000-0005-0000-0000-00005F590000}"/>
    <cellStyle name="Normal 3 13 2 4 4 4" xfId="21198" xr:uid="{00000000-0005-0000-0000-000060590000}"/>
    <cellStyle name="Normal 3 13 2 4 4 5" xfId="21830" xr:uid="{00000000-0005-0000-0000-000061590000}"/>
    <cellStyle name="Normal 3 13 2 4 4 6" xfId="22515" xr:uid="{00000000-0005-0000-0000-000062590000}"/>
    <cellStyle name="Normal 3 13 2 4 4 7" xfId="19553" xr:uid="{00000000-0005-0000-0000-000063590000}"/>
    <cellStyle name="Normal 3 13 2 4 4 8" xfId="23934" xr:uid="{00000000-0005-0000-0000-000064590000}"/>
    <cellStyle name="Normal 3 13 2 4 4 9" xfId="24789" xr:uid="{00000000-0005-0000-0000-000065590000}"/>
    <cellStyle name="Normal 3 13 2 4 5" xfId="19605" xr:uid="{00000000-0005-0000-0000-000066590000}"/>
    <cellStyle name="Normal 3 13 2 5" xfId="18257" xr:uid="{00000000-0005-0000-0000-000067590000}"/>
    <cellStyle name="Normal 3 13 2 5 2" xfId="18382" xr:uid="{00000000-0005-0000-0000-000068590000}"/>
    <cellStyle name="Normal 3 13 2 5 2 2" xfId="18530" xr:uid="{00000000-0005-0000-0000-000069590000}"/>
    <cellStyle name="Normal 3 13 2 5 2 2 2" xfId="18727" xr:uid="{00000000-0005-0000-0000-00006A590000}"/>
    <cellStyle name="Normal 3 13 2 5 2 2 2 10" xfId="24809" xr:uid="{00000000-0005-0000-0000-00006B590000}"/>
    <cellStyle name="Normal 3 13 2 5 2 2 2 11" xfId="23310" xr:uid="{00000000-0005-0000-0000-00006C590000}"/>
    <cellStyle name="Normal 3 13 2 5 2 2 2 12" xfId="26518" xr:uid="{00000000-0005-0000-0000-00006D590000}"/>
    <cellStyle name="Normal 3 13 2 5 2 2 2 13" xfId="26857" xr:uid="{00000000-0005-0000-0000-00006E590000}"/>
    <cellStyle name="Normal 3 13 2 5 2 2 2 2" xfId="20244" xr:uid="{00000000-0005-0000-0000-00006F590000}"/>
    <cellStyle name="Normal 3 13 2 5 2 2 2 3" xfId="20646" xr:uid="{00000000-0005-0000-0000-000070590000}"/>
    <cellStyle name="Normal 3 13 2 5 2 2 2 4" xfId="19056" xr:uid="{00000000-0005-0000-0000-000071590000}"/>
    <cellStyle name="Normal 3 13 2 5 2 2 2 5" xfId="19456" xr:uid="{00000000-0005-0000-0000-000072590000}"/>
    <cellStyle name="Normal 3 13 2 5 2 2 2 6" xfId="20932" xr:uid="{00000000-0005-0000-0000-000073590000}"/>
    <cellStyle name="Normal 3 13 2 5 2 2 2 7" xfId="23027" xr:uid="{00000000-0005-0000-0000-000074590000}"/>
    <cellStyle name="Normal 3 13 2 5 2 2 2 8" xfId="20676" xr:uid="{00000000-0005-0000-0000-000075590000}"/>
    <cellStyle name="Normal 3 13 2 5 2 2 2 9" xfId="24790" xr:uid="{00000000-0005-0000-0000-000076590000}"/>
    <cellStyle name="Normal 3 13 2 5 2 2 3" xfId="19604" xr:uid="{00000000-0005-0000-0000-000077590000}"/>
    <cellStyle name="Normal 3 13 2 5 2 3" xfId="18726" xr:uid="{00000000-0005-0000-0000-000078590000}"/>
    <cellStyle name="Normal 3 13 2 5 2 3 10" xfId="22903" xr:uid="{00000000-0005-0000-0000-000079590000}"/>
    <cellStyle name="Normal 3 13 2 5 2 3 11" xfId="25745" xr:uid="{00000000-0005-0000-0000-00007A590000}"/>
    <cellStyle name="Normal 3 13 2 5 2 3 12" xfId="25526" xr:uid="{00000000-0005-0000-0000-00007B590000}"/>
    <cellStyle name="Normal 3 13 2 5 2 3 13" xfId="25323" xr:uid="{00000000-0005-0000-0000-00007C590000}"/>
    <cellStyle name="Normal 3 13 2 5 2 3 2" xfId="20243" xr:uid="{00000000-0005-0000-0000-00007D590000}"/>
    <cellStyle name="Normal 3 13 2 5 2 3 3" xfId="20773" xr:uid="{00000000-0005-0000-0000-00007E590000}"/>
    <cellStyle name="Normal 3 13 2 5 2 3 4" xfId="19512" xr:uid="{00000000-0005-0000-0000-00007F590000}"/>
    <cellStyle name="Normal 3 13 2 5 2 3 5" xfId="19160" xr:uid="{00000000-0005-0000-0000-000080590000}"/>
    <cellStyle name="Normal 3 13 2 5 2 3 6" xfId="19986" xr:uid="{00000000-0005-0000-0000-000081590000}"/>
    <cellStyle name="Normal 3 13 2 5 2 3 7" xfId="21433" xr:uid="{00000000-0005-0000-0000-000082590000}"/>
    <cellStyle name="Normal 3 13 2 5 2 3 8" xfId="22728" xr:uid="{00000000-0005-0000-0000-000083590000}"/>
    <cellStyle name="Normal 3 13 2 5 2 3 9" xfId="24447" xr:uid="{00000000-0005-0000-0000-000084590000}"/>
    <cellStyle name="Normal 3 13 2 5 2 4" xfId="19277" xr:uid="{00000000-0005-0000-0000-000085590000}"/>
    <cellStyle name="Normal 3 13 2 5 3" xfId="18529" xr:uid="{00000000-0005-0000-0000-000086590000}"/>
    <cellStyle name="Normal 3 13 2 5 3 2" xfId="18728" xr:uid="{00000000-0005-0000-0000-000087590000}"/>
    <cellStyle name="Normal 3 13 2 5 3 2 10" xfId="25287" xr:uid="{00000000-0005-0000-0000-000088590000}"/>
    <cellStyle name="Normal 3 13 2 5 3 2 11" xfId="22109" xr:uid="{00000000-0005-0000-0000-000089590000}"/>
    <cellStyle name="Normal 3 13 2 5 3 2 12" xfId="26403" xr:uid="{00000000-0005-0000-0000-00008A590000}"/>
    <cellStyle name="Normal 3 13 2 5 3 2 13" xfId="26950" xr:uid="{00000000-0005-0000-0000-00008B590000}"/>
    <cellStyle name="Normal 3 13 2 5 3 2 2" xfId="20245" xr:uid="{00000000-0005-0000-0000-00008C590000}"/>
    <cellStyle name="Normal 3 13 2 5 3 2 3" xfId="19752" xr:uid="{00000000-0005-0000-0000-00008D590000}"/>
    <cellStyle name="Normal 3 13 2 5 3 2 4" xfId="19460" xr:uid="{00000000-0005-0000-0000-00008E590000}"/>
    <cellStyle name="Normal 3 13 2 5 3 2 5" xfId="19967" xr:uid="{00000000-0005-0000-0000-00008F590000}"/>
    <cellStyle name="Normal 3 13 2 5 3 2 6" xfId="19882" xr:uid="{00000000-0005-0000-0000-000090590000}"/>
    <cellStyle name="Normal 3 13 2 5 3 2 7" xfId="23581" xr:uid="{00000000-0005-0000-0000-000091590000}"/>
    <cellStyle name="Normal 3 13 2 5 3 2 8" xfId="23283" xr:uid="{00000000-0005-0000-0000-000092590000}"/>
    <cellStyle name="Normal 3 13 2 5 3 2 9" xfId="20058" xr:uid="{00000000-0005-0000-0000-000093590000}"/>
    <cellStyle name="Normal 3 13 2 5 3 3" xfId="19001" xr:uid="{00000000-0005-0000-0000-000094590000}"/>
    <cellStyle name="Normal 3 13 2 5 4" xfId="18725" xr:uid="{00000000-0005-0000-0000-000095590000}"/>
    <cellStyle name="Normal 3 13 2 5 4 10" xfId="23137" xr:uid="{00000000-0005-0000-0000-000096590000}"/>
    <cellStyle name="Normal 3 13 2 5 4 11" xfId="26174" xr:uid="{00000000-0005-0000-0000-000097590000}"/>
    <cellStyle name="Normal 3 13 2 5 4 12" xfId="26632" xr:uid="{00000000-0005-0000-0000-000098590000}"/>
    <cellStyle name="Normal 3 13 2 5 4 13" xfId="24705" xr:uid="{00000000-0005-0000-0000-000099590000}"/>
    <cellStyle name="Normal 3 13 2 5 4 2" xfId="20242" xr:uid="{00000000-0005-0000-0000-00009A590000}"/>
    <cellStyle name="Normal 3 13 2 5 4 3" xfId="19753" xr:uid="{00000000-0005-0000-0000-00009B590000}"/>
    <cellStyle name="Normal 3 13 2 5 4 4" xfId="21042" xr:uid="{00000000-0005-0000-0000-00009C590000}"/>
    <cellStyle name="Normal 3 13 2 5 4 5" xfId="21652" xr:uid="{00000000-0005-0000-0000-00009D590000}"/>
    <cellStyle name="Normal 3 13 2 5 4 6" xfId="22334" xr:uid="{00000000-0005-0000-0000-00009E590000}"/>
    <cellStyle name="Normal 3 13 2 5 4 7" xfId="21514" xr:uid="{00000000-0005-0000-0000-00009F590000}"/>
    <cellStyle name="Normal 3 13 2 5 4 8" xfId="23754" xr:uid="{00000000-0005-0000-0000-0000A0590000}"/>
    <cellStyle name="Normal 3 13 2 5 4 9" xfId="20011" xr:uid="{00000000-0005-0000-0000-0000A1590000}"/>
    <cellStyle name="Normal 3 13 2 5 5" xfId="19603" xr:uid="{00000000-0005-0000-0000-0000A2590000}"/>
    <cellStyle name="Normal 3 13 2 6" xfId="18375" xr:uid="{00000000-0005-0000-0000-0000A3590000}"/>
    <cellStyle name="Normal 3 13 2 6 2" xfId="18531" xr:uid="{00000000-0005-0000-0000-0000A4590000}"/>
    <cellStyle name="Normal 3 13 2 6 2 2" xfId="18730" xr:uid="{00000000-0005-0000-0000-0000A5590000}"/>
    <cellStyle name="Normal 3 13 2 6 2 2 10" xfId="23799" xr:uid="{00000000-0005-0000-0000-0000A6590000}"/>
    <cellStyle name="Normal 3 13 2 6 2 2 11" xfId="19989" xr:uid="{00000000-0005-0000-0000-0000A7590000}"/>
    <cellStyle name="Normal 3 13 2 6 2 2 12" xfId="25943" xr:uid="{00000000-0005-0000-0000-0000A8590000}"/>
    <cellStyle name="Normal 3 13 2 6 2 2 13" xfId="27048" xr:uid="{00000000-0005-0000-0000-0000A9590000}"/>
    <cellStyle name="Normal 3 13 2 6 2 2 2" xfId="20247" xr:uid="{00000000-0005-0000-0000-0000AA590000}"/>
    <cellStyle name="Normal 3 13 2 6 2 2 3" xfId="19017" xr:uid="{00000000-0005-0000-0000-0000AB590000}"/>
    <cellStyle name="Normal 3 13 2 6 2 2 4" xfId="21486" xr:uid="{00000000-0005-0000-0000-0000AC590000}"/>
    <cellStyle name="Normal 3 13 2 6 2 2 5" xfId="22172" xr:uid="{00000000-0005-0000-0000-0000AD590000}"/>
    <cellStyle name="Normal 3 13 2 6 2 2 6" xfId="22858" xr:uid="{00000000-0005-0000-0000-0000AE590000}"/>
    <cellStyle name="Normal 3 13 2 6 2 2 7" xfId="23397" xr:uid="{00000000-0005-0000-0000-0000AF590000}"/>
    <cellStyle name="Normal 3 13 2 6 2 2 8" xfId="24287" xr:uid="{00000000-0005-0000-0000-0000B0590000}"/>
    <cellStyle name="Normal 3 13 2 6 2 2 9" xfId="24446" xr:uid="{00000000-0005-0000-0000-0000B1590000}"/>
    <cellStyle name="Normal 3 13 2 6 2 3" xfId="19000" xr:uid="{00000000-0005-0000-0000-0000B2590000}"/>
    <cellStyle name="Normal 3 13 2 6 3" xfId="18729" xr:uid="{00000000-0005-0000-0000-0000B3590000}"/>
    <cellStyle name="Normal 3 13 2 6 3 10" xfId="25609" xr:uid="{00000000-0005-0000-0000-0000B4590000}"/>
    <cellStyle name="Normal 3 13 2 6 3 11" xfId="24842" xr:uid="{00000000-0005-0000-0000-0000B5590000}"/>
    <cellStyle name="Normal 3 13 2 6 3 12" xfId="25935" xr:uid="{00000000-0005-0000-0000-0000B6590000}"/>
    <cellStyle name="Normal 3 13 2 6 3 13" xfId="24884" xr:uid="{00000000-0005-0000-0000-0000B7590000}"/>
    <cellStyle name="Normal 3 13 2 6 3 2" xfId="20246" xr:uid="{00000000-0005-0000-0000-0000B8590000}"/>
    <cellStyle name="Normal 3 13 2 6 3 3" xfId="19751" xr:uid="{00000000-0005-0000-0000-0000B9590000}"/>
    <cellStyle name="Normal 3 13 2 6 3 4" xfId="21043" xr:uid="{00000000-0005-0000-0000-0000BA590000}"/>
    <cellStyle name="Normal 3 13 2 6 3 5" xfId="21653" xr:uid="{00000000-0005-0000-0000-0000BB590000}"/>
    <cellStyle name="Normal 3 13 2 6 3 6" xfId="22335" xr:uid="{00000000-0005-0000-0000-0000BC590000}"/>
    <cellStyle name="Normal 3 13 2 6 3 7" xfId="21868" xr:uid="{00000000-0005-0000-0000-0000BD590000}"/>
    <cellStyle name="Normal 3 13 2 6 3 8" xfId="23755" xr:uid="{00000000-0005-0000-0000-0000BE590000}"/>
    <cellStyle name="Normal 3 13 2 6 3 9" xfId="24791" xr:uid="{00000000-0005-0000-0000-0000BF590000}"/>
    <cellStyle name="Normal 3 13 2 6 4" xfId="19406" xr:uid="{00000000-0005-0000-0000-0000C0590000}"/>
    <cellStyle name="Normal 3 13 2 7" xfId="18516" xr:uid="{00000000-0005-0000-0000-0000C1590000}"/>
    <cellStyle name="Normal 3 13 2 7 2" xfId="18731" xr:uid="{00000000-0005-0000-0000-0000C2590000}"/>
    <cellStyle name="Normal 3 13 2 7 2 10" xfId="25608" xr:uid="{00000000-0005-0000-0000-0000C3590000}"/>
    <cellStyle name="Normal 3 13 2 7 2 11" xfId="26175" xr:uid="{00000000-0005-0000-0000-0000C4590000}"/>
    <cellStyle name="Normal 3 13 2 7 2 12" xfId="25909" xr:uid="{00000000-0005-0000-0000-0000C5590000}"/>
    <cellStyle name="Normal 3 13 2 7 2 13" xfId="26758" xr:uid="{00000000-0005-0000-0000-0000C6590000}"/>
    <cellStyle name="Normal 3 13 2 7 2 2" xfId="20248" xr:uid="{00000000-0005-0000-0000-0000C7590000}"/>
    <cellStyle name="Normal 3 13 2 7 2 3" xfId="20518" xr:uid="{00000000-0005-0000-0000-0000C8590000}"/>
    <cellStyle name="Normal 3 13 2 7 2 4" xfId="19453" xr:uid="{00000000-0005-0000-0000-0000C9590000}"/>
    <cellStyle name="Normal 3 13 2 7 2 5" xfId="19424" xr:uid="{00000000-0005-0000-0000-0000CA590000}"/>
    <cellStyle name="Normal 3 13 2 7 2 6" xfId="21232" xr:uid="{00000000-0005-0000-0000-0000CB590000}"/>
    <cellStyle name="Normal 3 13 2 7 2 7" xfId="23214" xr:uid="{00000000-0005-0000-0000-0000CC590000}"/>
    <cellStyle name="Normal 3 13 2 7 2 8" xfId="21535" xr:uid="{00000000-0005-0000-0000-0000CD590000}"/>
    <cellStyle name="Normal 3 13 2 7 2 9" xfId="22572" xr:uid="{00000000-0005-0000-0000-0000CE590000}"/>
    <cellStyle name="Normal 3 13 2 7 3" xfId="19405" xr:uid="{00000000-0005-0000-0000-0000CF590000}"/>
    <cellStyle name="Normal 3 13 2 8" xfId="18700" xr:uid="{00000000-0005-0000-0000-0000D0590000}"/>
    <cellStyle name="Normal 3 13 2 8 10" xfId="25283" xr:uid="{00000000-0005-0000-0000-0000D1590000}"/>
    <cellStyle name="Normal 3 13 2 8 11" xfId="22217" xr:uid="{00000000-0005-0000-0000-0000D2590000}"/>
    <cellStyle name="Normal 3 13 2 8 12" xfId="25355" xr:uid="{00000000-0005-0000-0000-0000D3590000}"/>
    <cellStyle name="Normal 3 13 2 8 13" xfId="25004" xr:uid="{00000000-0005-0000-0000-0000D4590000}"/>
    <cellStyle name="Normal 3 13 2 8 2" xfId="20217" xr:uid="{00000000-0005-0000-0000-0000D5590000}"/>
    <cellStyle name="Normal 3 13 2 8 3" xfId="19762" xr:uid="{00000000-0005-0000-0000-0000D6590000}"/>
    <cellStyle name="Normal 3 13 2 8 4" xfId="21332" xr:uid="{00000000-0005-0000-0000-0000D7590000}"/>
    <cellStyle name="Normal 3 13 2 8 5" xfId="21994" xr:uid="{00000000-0005-0000-0000-0000D8590000}"/>
    <cellStyle name="Normal 3 13 2 8 6" xfId="22683" xr:uid="{00000000-0005-0000-0000-0000D9590000}"/>
    <cellStyle name="Normal 3 13 2 8 7" xfId="20561" xr:uid="{00000000-0005-0000-0000-0000DA590000}"/>
    <cellStyle name="Normal 3 13 2 8 8" xfId="24103" xr:uid="{00000000-0005-0000-0000-0000DB590000}"/>
    <cellStyle name="Normal 3 13 2 8 9" xfId="21701" xr:uid="{00000000-0005-0000-0000-0000DC590000}"/>
    <cellStyle name="Normal 3 13 2 9" xfId="19413" xr:uid="{00000000-0005-0000-0000-0000DD590000}"/>
    <cellStyle name="Normal 3 13 2_Fordelinger" xfId="18264" xr:uid="{00000000-0005-0000-0000-0000DE590000}"/>
    <cellStyle name="Normal 3 13 3" xfId="18201" xr:uid="{00000000-0005-0000-0000-0000DF590000}"/>
    <cellStyle name="Normal 3 13 3 2" xfId="18266" xr:uid="{00000000-0005-0000-0000-0000E0590000}"/>
    <cellStyle name="Normal 3 13 3 2 2" xfId="18384" xr:uid="{00000000-0005-0000-0000-0000E1590000}"/>
    <cellStyle name="Normal 3 13 3 2 2 2" xfId="18534" xr:uid="{00000000-0005-0000-0000-0000E2590000}"/>
    <cellStyle name="Normal 3 13 3 2 2 2 2" xfId="18735" xr:uid="{00000000-0005-0000-0000-0000E3590000}"/>
    <cellStyle name="Normal 3 13 3 2 2 2 2 10" xfId="24836" xr:uid="{00000000-0005-0000-0000-0000E4590000}"/>
    <cellStyle name="Normal 3 13 3 2 2 2 2 11" xfId="26030" xr:uid="{00000000-0005-0000-0000-0000E5590000}"/>
    <cellStyle name="Normal 3 13 3 2 2 2 2 12" xfId="26520" xr:uid="{00000000-0005-0000-0000-0000E6590000}"/>
    <cellStyle name="Normal 3 13 3 2 2 2 2 13" xfId="26759" xr:uid="{00000000-0005-0000-0000-0000E7590000}"/>
    <cellStyle name="Normal 3 13 3 2 2 2 2 2" xfId="20252" xr:uid="{00000000-0005-0000-0000-0000E8590000}"/>
    <cellStyle name="Normal 3 13 3 2 2 2 2 3" xfId="20517" xr:uid="{00000000-0005-0000-0000-0000E9590000}"/>
    <cellStyle name="Normal 3 13 3 2 2 2 2 4" xfId="19163" xr:uid="{00000000-0005-0000-0000-0000EA590000}"/>
    <cellStyle name="Normal 3 13 3 2 2 2 2 5" xfId="20559" xr:uid="{00000000-0005-0000-0000-0000EB590000}"/>
    <cellStyle name="Normal 3 13 3 2 2 2 2 6" xfId="20702" xr:uid="{00000000-0005-0000-0000-0000EC590000}"/>
    <cellStyle name="Normal 3 13 3 2 2 2 2 7" xfId="23029" xr:uid="{00000000-0005-0000-0000-0000ED590000}"/>
    <cellStyle name="Normal 3 13 3 2 2 2 2 8" xfId="22554" xr:uid="{00000000-0005-0000-0000-0000EE590000}"/>
    <cellStyle name="Normal 3 13 3 2 2 2 2 9" xfId="24965" xr:uid="{00000000-0005-0000-0000-0000EF590000}"/>
    <cellStyle name="Normal 3 13 3 2 2 2 3" xfId="18999" xr:uid="{00000000-0005-0000-0000-0000F0590000}"/>
    <cellStyle name="Normal 3 13 3 2 2 3" xfId="18734" xr:uid="{00000000-0005-0000-0000-0000F1590000}"/>
    <cellStyle name="Normal 3 13 3 2 2 3 10" xfId="19156" xr:uid="{00000000-0005-0000-0000-0000F2590000}"/>
    <cellStyle name="Normal 3 13 3 2 2 3 11" xfId="25746" xr:uid="{00000000-0005-0000-0000-0000F3590000}"/>
    <cellStyle name="Normal 3 13 3 2 2 3 12" xfId="24367" xr:uid="{00000000-0005-0000-0000-0000F4590000}"/>
    <cellStyle name="Normal 3 13 3 2 2 3 13" xfId="26310" xr:uid="{00000000-0005-0000-0000-0000F5590000}"/>
    <cellStyle name="Normal 3 13 3 2 2 3 2" xfId="20251" xr:uid="{00000000-0005-0000-0000-0000F6590000}"/>
    <cellStyle name="Normal 3 13 3 2 2 3 3" xfId="20775" xr:uid="{00000000-0005-0000-0000-0000F7590000}"/>
    <cellStyle name="Normal 3 13 3 2 2 3 4" xfId="19016" xr:uid="{00000000-0005-0000-0000-0000F8590000}"/>
    <cellStyle name="Normal 3 13 3 2 2 3 5" xfId="18937" xr:uid="{00000000-0005-0000-0000-0000F9590000}"/>
    <cellStyle name="Normal 3 13 3 2 2 3 6" xfId="19855" xr:uid="{00000000-0005-0000-0000-0000FA590000}"/>
    <cellStyle name="Normal 3 13 3 2 2 3 7" xfId="21539" xr:uid="{00000000-0005-0000-0000-0000FB590000}"/>
    <cellStyle name="Normal 3 13 3 2 2 3 8" xfId="22200" xr:uid="{00000000-0005-0000-0000-0000FC590000}"/>
    <cellStyle name="Normal 3 13 3 2 2 3 9" xfId="24625" xr:uid="{00000000-0005-0000-0000-0000FD590000}"/>
    <cellStyle name="Normal 3 13 3 2 2 4" xfId="19602" xr:uid="{00000000-0005-0000-0000-0000FE590000}"/>
    <cellStyle name="Normal 3 13 3 2 3" xfId="18533" xr:uid="{00000000-0005-0000-0000-0000FF590000}"/>
    <cellStyle name="Normal 3 13 3 2 3 2" xfId="18736" xr:uid="{00000000-0005-0000-0000-0000005A0000}"/>
    <cellStyle name="Normal 3 13 3 2 3 2 10" xfId="25289" xr:uid="{00000000-0005-0000-0000-0000015A0000}"/>
    <cellStyle name="Normal 3 13 3 2 3 2 11" xfId="24494" xr:uid="{00000000-0005-0000-0000-0000025A0000}"/>
    <cellStyle name="Normal 3 13 3 2 3 2 12" xfId="26290" xr:uid="{00000000-0005-0000-0000-0000035A0000}"/>
    <cellStyle name="Normal 3 13 3 2 3 2 13" xfId="27045" xr:uid="{00000000-0005-0000-0000-0000045A0000}"/>
    <cellStyle name="Normal 3 13 3 2 3 2 2" xfId="20253" xr:uid="{00000000-0005-0000-0000-0000055A0000}"/>
    <cellStyle name="Normal 3 13 3 2 3 2 3" xfId="19749" xr:uid="{00000000-0005-0000-0000-0000065A0000}"/>
    <cellStyle name="Normal 3 13 3 2 3 2 4" xfId="19308" xr:uid="{00000000-0005-0000-0000-0000075A0000}"/>
    <cellStyle name="Normal 3 13 3 2 3 2 5" xfId="19969" xr:uid="{00000000-0005-0000-0000-0000085A0000}"/>
    <cellStyle name="Normal 3 13 3 2 3 2 6" xfId="20956" xr:uid="{00000000-0005-0000-0000-0000095A0000}"/>
    <cellStyle name="Normal 3 13 3 2 3 2 7" xfId="23398" xr:uid="{00000000-0005-0000-0000-00000A5A0000}"/>
    <cellStyle name="Normal 3 13 3 2 3 2 8" xfId="22577" xr:uid="{00000000-0005-0000-0000-00000B5A0000}"/>
    <cellStyle name="Normal 3 13 3 2 3 2 9" xfId="23444" xr:uid="{00000000-0005-0000-0000-00000C5A0000}"/>
    <cellStyle name="Normal 3 13 3 2 3 3" xfId="19404" xr:uid="{00000000-0005-0000-0000-00000D5A0000}"/>
    <cellStyle name="Normal 3 13 3 2 4" xfId="18733" xr:uid="{00000000-0005-0000-0000-00000E5A0000}"/>
    <cellStyle name="Normal 3 13 3 2 4 10" xfId="24149" xr:uid="{00000000-0005-0000-0000-00000F5A0000}"/>
    <cellStyle name="Normal 3 13 3 2 4 11" xfId="23985" xr:uid="{00000000-0005-0000-0000-0000105A0000}"/>
    <cellStyle name="Normal 3 13 3 2 4 12" xfId="26519" xr:uid="{00000000-0005-0000-0000-0000115A0000}"/>
    <cellStyle name="Normal 3 13 3 2 4 13" xfId="24997" xr:uid="{00000000-0005-0000-0000-0000125A0000}"/>
    <cellStyle name="Normal 3 13 3 2 4 2" xfId="20250" xr:uid="{00000000-0005-0000-0000-0000135A0000}"/>
    <cellStyle name="Normal 3 13 3 2 4 3" xfId="19750" xr:uid="{00000000-0005-0000-0000-0000145A0000}"/>
    <cellStyle name="Normal 3 13 3 2 4 4" xfId="21195" xr:uid="{00000000-0005-0000-0000-0000155A0000}"/>
    <cellStyle name="Normal 3 13 3 2 4 5" xfId="21827" xr:uid="{00000000-0005-0000-0000-0000165A0000}"/>
    <cellStyle name="Normal 3 13 3 2 4 6" xfId="22512" xr:uid="{00000000-0005-0000-0000-0000175A0000}"/>
    <cellStyle name="Normal 3 13 3 2 4 7" xfId="20863" xr:uid="{00000000-0005-0000-0000-0000185A0000}"/>
    <cellStyle name="Normal 3 13 3 2 4 8" xfId="23931" xr:uid="{00000000-0005-0000-0000-0000195A0000}"/>
    <cellStyle name="Normal 3 13 3 2 4 9" xfId="21221" xr:uid="{00000000-0005-0000-0000-00001A5A0000}"/>
    <cellStyle name="Normal 3 13 3 2 5" xfId="19275" xr:uid="{00000000-0005-0000-0000-00001B5A0000}"/>
    <cellStyle name="Normal 3 13 3 3" xfId="18267" xr:uid="{00000000-0005-0000-0000-00001C5A0000}"/>
    <cellStyle name="Normal 3 13 3 3 2" xfId="18385" xr:uid="{00000000-0005-0000-0000-00001D5A0000}"/>
    <cellStyle name="Normal 3 13 3 3 2 2" xfId="18536" xr:uid="{00000000-0005-0000-0000-00001E5A0000}"/>
    <cellStyle name="Normal 3 13 3 3 2 2 2" xfId="18739" xr:uid="{00000000-0005-0000-0000-00001F5A0000}"/>
    <cellStyle name="Normal 3 13 3 3 2 2 2 10" xfId="25610" xr:uid="{00000000-0005-0000-0000-0000205A0000}"/>
    <cellStyle name="Normal 3 13 3 3 2 2 2 11" xfId="26031" xr:uid="{00000000-0005-0000-0000-0000215A0000}"/>
    <cellStyle name="Normal 3 13 3 3 2 2 2 12" xfId="25769" xr:uid="{00000000-0005-0000-0000-0000225A0000}"/>
    <cellStyle name="Normal 3 13 3 3 2 2 2 13" xfId="26854" xr:uid="{00000000-0005-0000-0000-0000235A0000}"/>
    <cellStyle name="Normal 3 13 3 3 2 2 2 2" xfId="20256" xr:uid="{00000000-0005-0000-0000-0000245A0000}"/>
    <cellStyle name="Normal 3 13 3 3 2 2 2 3" xfId="20651" xr:uid="{00000000-0005-0000-0000-0000255A0000}"/>
    <cellStyle name="Normal 3 13 3 3 2 2 2 4" xfId="19448" xr:uid="{00000000-0005-0000-0000-0000265A0000}"/>
    <cellStyle name="Normal 3 13 3 3 2 2 2 5" xfId="20811" xr:uid="{00000000-0005-0000-0000-0000275A0000}"/>
    <cellStyle name="Normal 3 13 3 3 2 2 2 6" xfId="20445" xr:uid="{00000000-0005-0000-0000-0000285A0000}"/>
    <cellStyle name="Normal 3 13 3 3 2 2 2 7" xfId="23028" xr:uid="{00000000-0005-0000-0000-0000295A0000}"/>
    <cellStyle name="Normal 3 13 3 3 2 2 2 8" xfId="21757" xr:uid="{00000000-0005-0000-0000-00002A5A0000}"/>
    <cellStyle name="Normal 3 13 3 3 2 2 2 9" xfId="22612" xr:uid="{00000000-0005-0000-0000-00002B5A0000}"/>
    <cellStyle name="Normal 3 13 3 3 2 2 3" xfId="19274" xr:uid="{00000000-0005-0000-0000-00002C5A0000}"/>
    <cellStyle name="Normal 3 13 3 3 2 3" xfId="18738" xr:uid="{00000000-0005-0000-0000-00002D5A0000}"/>
    <cellStyle name="Normal 3 13 3 3 2 3 10" xfId="22606" xr:uid="{00000000-0005-0000-0000-00002E5A0000}"/>
    <cellStyle name="Normal 3 13 3 3 2 3 11" xfId="25748" xr:uid="{00000000-0005-0000-0000-00002F5A0000}"/>
    <cellStyle name="Normal 3 13 3 3 2 3 12" xfId="24691" xr:uid="{00000000-0005-0000-0000-0000305A0000}"/>
    <cellStyle name="Normal 3 13 3 3 2 3 13" xfId="26951" xr:uid="{00000000-0005-0000-0000-0000315A0000}"/>
    <cellStyle name="Normal 3 13 3 3 2 3 2" xfId="20255" xr:uid="{00000000-0005-0000-0000-0000325A0000}"/>
    <cellStyle name="Normal 3 13 3 3 2 3 3" xfId="18913" xr:uid="{00000000-0005-0000-0000-0000335A0000}"/>
    <cellStyle name="Normal 3 13 3 3 2 3 4" xfId="21336" xr:uid="{00000000-0005-0000-0000-0000345A0000}"/>
    <cellStyle name="Normal 3 13 3 3 2 3 5" xfId="21998" xr:uid="{00000000-0005-0000-0000-0000355A0000}"/>
    <cellStyle name="Normal 3 13 3 3 2 3 6" xfId="22687" xr:uid="{00000000-0005-0000-0000-0000365A0000}"/>
    <cellStyle name="Normal 3 13 3 3 2 3 7" xfId="23399" xr:uid="{00000000-0005-0000-0000-0000375A0000}"/>
    <cellStyle name="Normal 3 13 3 3 2 3 8" xfId="24107" xr:uid="{00000000-0005-0000-0000-0000385A0000}"/>
    <cellStyle name="Normal 3 13 3 3 2 3 9" xfId="24626" xr:uid="{00000000-0005-0000-0000-0000395A0000}"/>
    <cellStyle name="Normal 3 13 3 3 2 4" xfId="19600" xr:uid="{00000000-0005-0000-0000-00003A5A0000}"/>
    <cellStyle name="Normal 3 13 3 3 3" xfId="18535" xr:uid="{00000000-0005-0000-0000-00003B5A0000}"/>
    <cellStyle name="Normal 3 13 3 3 3 2" xfId="18740" xr:uid="{00000000-0005-0000-0000-00003C5A0000}"/>
    <cellStyle name="Normal 3 13 3 3 3 2 10" xfId="25120" xr:uid="{00000000-0005-0000-0000-00003D5A0000}"/>
    <cellStyle name="Normal 3 13 3 3 3 2 11" xfId="24024" xr:uid="{00000000-0005-0000-0000-00003E5A0000}"/>
    <cellStyle name="Normal 3 13 3 3 3 2 12" xfId="26408" xr:uid="{00000000-0005-0000-0000-00003F5A0000}"/>
    <cellStyle name="Normal 3 13 3 3 3 2 13" xfId="23300" xr:uid="{00000000-0005-0000-0000-0000405A0000}"/>
    <cellStyle name="Normal 3 13 3 3 3 2 2" xfId="20257" xr:uid="{00000000-0005-0000-0000-0000415A0000}"/>
    <cellStyle name="Normal 3 13 3 3 3 2 3" xfId="20906" xr:uid="{00000000-0005-0000-0000-0000425A0000}"/>
    <cellStyle name="Normal 3 13 3 3 3 2 4" xfId="21337" xr:uid="{00000000-0005-0000-0000-0000435A0000}"/>
    <cellStyle name="Normal 3 13 3 3 3 2 5" xfId="21999" xr:uid="{00000000-0005-0000-0000-0000445A0000}"/>
    <cellStyle name="Normal 3 13 3 3 3 2 6" xfId="22688" xr:uid="{00000000-0005-0000-0000-0000455A0000}"/>
    <cellStyle name="Normal 3 13 3 3 3 2 7" xfId="20864" xr:uid="{00000000-0005-0000-0000-0000465A0000}"/>
    <cellStyle name="Normal 3 13 3 3 3 2 8" xfId="24108" xr:uid="{00000000-0005-0000-0000-0000475A0000}"/>
    <cellStyle name="Normal 3 13 3 3 3 2 9" xfId="20549" xr:uid="{00000000-0005-0000-0000-0000485A0000}"/>
    <cellStyle name="Normal 3 13 3 3 3 3" xfId="19601" xr:uid="{00000000-0005-0000-0000-0000495A0000}"/>
    <cellStyle name="Normal 3 13 3 3 4" xfId="18737" xr:uid="{00000000-0005-0000-0000-00004A5A0000}"/>
    <cellStyle name="Normal 3 13 3 3 4 10" xfId="25443" xr:uid="{00000000-0005-0000-0000-00004B5A0000}"/>
    <cellStyle name="Normal 3 13 3 3 4 11" xfId="24833" xr:uid="{00000000-0005-0000-0000-00004C5A0000}"/>
    <cellStyle name="Normal 3 13 3 3 4 12" xfId="24848" xr:uid="{00000000-0005-0000-0000-00004D5A0000}"/>
    <cellStyle name="Normal 3 13 3 3 4 13" xfId="24365" xr:uid="{00000000-0005-0000-0000-00004E5A0000}"/>
    <cellStyle name="Normal 3 13 3 3 4 2" xfId="20254" xr:uid="{00000000-0005-0000-0000-00004F5A0000}"/>
    <cellStyle name="Normal 3 13 3 3 4 3" xfId="19748" xr:uid="{00000000-0005-0000-0000-0000505A0000}"/>
    <cellStyle name="Normal 3 13 3 3 4 4" xfId="21045" xr:uid="{00000000-0005-0000-0000-0000515A0000}"/>
    <cellStyle name="Normal 3 13 3 3 4 5" xfId="21655" xr:uid="{00000000-0005-0000-0000-0000525A0000}"/>
    <cellStyle name="Normal 3 13 3 3 4 6" xfId="22337" xr:uid="{00000000-0005-0000-0000-0000535A0000}"/>
    <cellStyle name="Normal 3 13 3 3 4 7" xfId="21385" xr:uid="{00000000-0005-0000-0000-0000545A0000}"/>
    <cellStyle name="Normal 3 13 3 3 4 8" xfId="23757" xr:uid="{00000000-0005-0000-0000-0000555A0000}"/>
    <cellStyle name="Normal 3 13 3 3 4 9" xfId="24964" xr:uid="{00000000-0005-0000-0000-0000565A0000}"/>
    <cellStyle name="Normal 3 13 3 3 5" xfId="19273" xr:uid="{00000000-0005-0000-0000-0000575A0000}"/>
    <cellStyle name="Normal 3 13 3 4" xfId="18265" xr:uid="{00000000-0005-0000-0000-0000585A0000}"/>
    <cellStyle name="Normal 3 13 3 4 2" xfId="18386" xr:uid="{00000000-0005-0000-0000-0000595A0000}"/>
    <cellStyle name="Normal 3 13 3 4 2 2" xfId="18538" xr:uid="{00000000-0005-0000-0000-00005A5A0000}"/>
    <cellStyle name="Normal 3 13 3 4 2 2 2" xfId="18743" xr:uid="{00000000-0005-0000-0000-00005B5A0000}"/>
    <cellStyle name="Normal 3 13 3 4 2 2 2 10" xfId="23499" xr:uid="{00000000-0005-0000-0000-00005C5A0000}"/>
    <cellStyle name="Normal 3 13 3 4 2 2 2 11" xfId="23311" xr:uid="{00000000-0005-0000-0000-00005D5A0000}"/>
    <cellStyle name="Normal 3 13 3 4 2 2 2 12" xfId="26636" xr:uid="{00000000-0005-0000-0000-00005E5A0000}"/>
    <cellStyle name="Normal 3 13 3 4 2 2 2 13" xfId="26761" xr:uid="{00000000-0005-0000-0000-00005F5A0000}"/>
    <cellStyle name="Normal 3 13 3 4 2 2 2 2" xfId="20260" xr:uid="{00000000-0005-0000-0000-0000605A0000}"/>
    <cellStyle name="Normal 3 13 3 4 2 2 2 3" xfId="20652" xr:uid="{00000000-0005-0000-0000-0000615A0000}"/>
    <cellStyle name="Normal 3 13 3 4 2 2 2 4" xfId="18898" xr:uid="{00000000-0005-0000-0000-0000625A0000}"/>
    <cellStyle name="Normal 3 13 3 4 2 2 2 5" xfId="19648" xr:uid="{00000000-0005-0000-0000-0000635A0000}"/>
    <cellStyle name="Normal 3 13 3 4 2 2 2 6" xfId="19987" xr:uid="{00000000-0005-0000-0000-0000645A0000}"/>
    <cellStyle name="Normal 3 13 3 4 2 2 2 7" xfId="23219" xr:uid="{00000000-0005-0000-0000-0000655A0000}"/>
    <cellStyle name="Normal 3 13 3 4 2 2 2 8" xfId="22045" xr:uid="{00000000-0005-0000-0000-0000665A0000}"/>
    <cellStyle name="Normal 3 13 3 4 2 2 2 9" xfId="24792" xr:uid="{00000000-0005-0000-0000-0000675A0000}"/>
    <cellStyle name="Normal 3 13 3 4 2 2 3" xfId="18997" xr:uid="{00000000-0005-0000-0000-0000685A0000}"/>
    <cellStyle name="Normal 3 13 3 4 2 3" xfId="18742" xr:uid="{00000000-0005-0000-0000-0000695A0000}"/>
    <cellStyle name="Normal 3 13 3 4 2 3 10" xfId="23969" xr:uid="{00000000-0005-0000-0000-00006A5A0000}"/>
    <cellStyle name="Normal 3 13 3 4 2 3 11" xfId="25747" xr:uid="{00000000-0005-0000-0000-00006B5A0000}"/>
    <cellStyle name="Normal 3 13 3 4 2 3 12" xfId="23119" xr:uid="{00000000-0005-0000-0000-00006C5A0000}"/>
    <cellStyle name="Normal 3 13 3 4 2 3 13" xfId="26432" xr:uid="{00000000-0005-0000-0000-00006D5A0000}"/>
    <cellStyle name="Normal 3 13 3 4 2 3 2" xfId="20259" xr:uid="{00000000-0005-0000-0000-00006E5A0000}"/>
    <cellStyle name="Normal 3 13 3 4 2 3 3" xfId="20905" xr:uid="{00000000-0005-0000-0000-00006F5A0000}"/>
    <cellStyle name="Normal 3 13 3 4 2 3 4" xfId="19628" xr:uid="{00000000-0005-0000-0000-0000705A0000}"/>
    <cellStyle name="Normal 3 13 3 4 2 3 5" xfId="20035" xr:uid="{00000000-0005-0000-0000-0000715A0000}"/>
    <cellStyle name="Normal 3 13 3 4 2 3 6" xfId="20446" xr:uid="{00000000-0005-0000-0000-0000725A0000}"/>
    <cellStyle name="Normal 3 13 3 4 2 3 7" xfId="20988" xr:uid="{00000000-0005-0000-0000-0000735A0000}"/>
    <cellStyle name="Normal 3 13 3 4 2 3 8" xfId="19036" xr:uid="{00000000-0005-0000-0000-0000745A0000}"/>
    <cellStyle name="Normal 3 13 3 4 2 3 9" xfId="24627" xr:uid="{00000000-0005-0000-0000-0000755A0000}"/>
    <cellStyle name="Normal 3 13 3 4 2 4" xfId="19403" xr:uid="{00000000-0005-0000-0000-0000765A0000}"/>
    <cellStyle name="Normal 3 13 3 4 3" xfId="18537" xr:uid="{00000000-0005-0000-0000-0000775A0000}"/>
    <cellStyle name="Normal 3 13 3 4 3 2" xfId="18744" xr:uid="{00000000-0005-0000-0000-0000785A0000}"/>
    <cellStyle name="Normal 3 13 3 4 3 2 10" xfId="24810" xr:uid="{00000000-0005-0000-0000-0000795A0000}"/>
    <cellStyle name="Normal 3 13 3 4 3 2 11" xfId="24164" xr:uid="{00000000-0005-0000-0000-00007A5A0000}"/>
    <cellStyle name="Normal 3 13 3 4 3 2 12" xfId="26409" xr:uid="{00000000-0005-0000-0000-00007B5A0000}"/>
    <cellStyle name="Normal 3 13 3 4 3 2 13" xfId="26952" xr:uid="{00000000-0005-0000-0000-00007C5A0000}"/>
    <cellStyle name="Normal 3 13 3 4 3 2 2" xfId="20261" xr:uid="{00000000-0005-0000-0000-00007D5A0000}"/>
    <cellStyle name="Normal 3 13 3 4 3 2 3" xfId="19746" xr:uid="{00000000-0005-0000-0000-00007E5A0000}"/>
    <cellStyle name="Normal 3 13 3 4 3 2 4" xfId="19330" xr:uid="{00000000-0005-0000-0000-00007F5A0000}"/>
    <cellStyle name="Normal 3 13 3 4 3 2 5" xfId="19979" xr:uid="{00000000-0005-0000-0000-0000805A0000}"/>
    <cellStyle name="Normal 3 13 3 4 3 2 6" xfId="20479" xr:uid="{00000000-0005-0000-0000-0000815A0000}"/>
    <cellStyle name="Normal 3 13 3 4 3 2 7" xfId="23586" xr:uid="{00000000-0005-0000-0000-0000825A0000}"/>
    <cellStyle name="Normal 3 13 3 4 3 2 8" xfId="22094" xr:uid="{00000000-0005-0000-0000-0000835A0000}"/>
    <cellStyle name="Normal 3 13 3 4 3 2 9" xfId="22746" xr:uid="{00000000-0005-0000-0000-0000845A0000}"/>
    <cellStyle name="Normal 3 13 3 4 3 3" xfId="19402" xr:uid="{00000000-0005-0000-0000-0000855A0000}"/>
    <cellStyle name="Normal 3 13 3 4 4" xfId="18741" xr:uid="{00000000-0005-0000-0000-0000865A0000}"/>
    <cellStyle name="Normal 3 13 3 4 4 10" xfId="23611" xr:uid="{00000000-0005-0000-0000-0000875A0000}"/>
    <cellStyle name="Normal 3 13 3 4 4 11" xfId="26032" xr:uid="{00000000-0005-0000-0000-0000885A0000}"/>
    <cellStyle name="Normal 3 13 3 4 4 12" xfId="26637" xr:uid="{00000000-0005-0000-0000-0000895A0000}"/>
    <cellStyle name="Normal 3 13 3 4 4 13" xfId="25321" xr:uid="{00000000-0005-0000-0000-00008A5A0000}"/>
    <cellStyle name="Normal 3 13 3 4 4 2" xfId="20258" xr:uid="{00000000-0005-0000-0000-00008B5A0000}"/>
    <cellStyle name="Normal 3 13 3 4 4 3" xfId="19747" xr:uid="{00000000-0005-0000-0000-00008C5A0000}"/>
    <cellStyle name="Normal 3 13 3 4 4 4" xfId="21044" xr:uid="{00000000-0005-0000-0000-00008D5A0000}"/>
    <cellStyle name="Normal 3 13 3 4 4 5" xfId="21654" xr:uid="{00000000-0005-0000-0000-00008E5A0000}"/>
    <cellStyle name="Normal 3 13 3 4 4 6" xfId="22336" xr:uid="{00000000-0005-0000-0000-00008F5A0000}"/>
    <cellStyle name="Normal 3 13 3 4 4 7" xfId="20606" xr:uid="{00000000-0005-0000-0000-0000905A0000}"/>
    <cellStyle name="Normal 3 13 3 4 4 8" xfId="23756" xr:uid="{00000000-0005-0000-0000-0000915A0000}"/>
    <cellStyle name="Normal 3 13 3 4 4 9" xfId="23279" xr:uid="{00000000-0005-0000-0000-0000925A0000}"/>
    <cellStyle name="Normal 3 13 3 4 5" xfId="18998" xr:uid="{00000000-0005-0000-0000-0000935A0000}"/>
    <cellStyle name="Normal 3 13 3 5" xfId="18383" xr:uid="{00000000-0005-0000-0000-0000945A0000}"/>
    <cellStyle name="Normal 3 13 3 5 2" xfId="18539" xr:uid="{00000000-0005-0000-0000-0000955A0000}"/>
    <cellStyle name="Normal 3 13 3 5 2 2" xfId="18746" xr:uid="{00000000-0005-0000-0000-0000965A0000}"/>
    <cellStyle name="Normal 3 13 3 5 2 2 10" xfId="25286" xr:uid="{00000000-0005-0000-0000-0000975A0000}"/>
    <cellStyle name="Normal 3 13 3 5 2 2 11" xfId="25897" xr:uid="{00000000-0005-0000-0000-0000985A0000}"/>
    <cellStyle name="Normal 3 13 3 5 2 2 12" xfId="25794" xr:uid="{00000000-0005-0000-0000-0000995A0000}"/>
    <cellStyle name="Normal 3 13 3 5 2 2 13" xfId="26953" xr:uid="{00000000-0005-0000-0000-00009A5A0000}"/>
    <cellStyle name="Normal 3 13 3 5 2 2 2" xfId="20263" xr:uid="{00000000-0005-0000-0000-00009B5A0000}"/>
    <cellStyle name="Normal 3 13 3 5 2 2 3" xfId="18921" xr:uid="{00000000-0005-0000-0000-00009C5A0000}"/>
    <cellStyle name="Normal 3 13 3 5 2 2 4" xfId="21491" xr:uid="{00000000-0005-0000-0000-00009D5A0000}"/>
    <cellStyle name="Normal 3 13 3 5 2 2 5" xfId="22177" xr:uid="{00000000-0005-0000-0000-00009E5A0000}"/>
    <cellStyle name="Normal 3 13 3 5 2 2 6" xfId="22863" xr:uid="{00000000-0005-0000-0000-00009F5A0000}"/>
    <cellStyle name="Normal 3 13 3 5 2 2 7" xfId="23585" xr:uid="{00000000-0005-0000-0000-0000A05A0000}"/>
    <cellStyle name="Normal 3 13 3 5 2 2 8" xfId="24292" xr:uid="{00000000-0005-0000-0000-0000A15A0000}"/>
    <cellStyle name="Normal 3 13 3 5 2 2 9" xfId="24448" xr:uid="{00000000-0005-0000-0000-0000A25A0000}"/>
    <cellStyle name="Normal 3 13 3 5 2 3" xfId="19401" xr:uid="{00000000-0005-0000-0000-0000A35A0000}"/>
    <cellStyle name="Normal 3 13 3 5 3" xfId="18745" xr:uid="{00000000-0005-0000-0000-0000A45A0000}"/>
    <cellStyle name="Normal 3 13 3 5 3 10" xfId="25611" xr:uid="{00000000-0005-0000-0000-0000A55A0000}"/>
    <cellStyle name="Normal 3 13 3 5 3 11" xfId="23294" xr:uid="{00000000-0005-0000-0000-0000A65A0000}"/>
    <cellStyle name="Normal 3 13 3 5 3 12" xfId="26079" xr:uid="{00000000-0005-0000-0000-0000A75A0000}"/>
    <cellStyle name="Normal 3 13 3 5 3 13" xfId="24995" xr:uid="{00000000-0005-0000-0000-0000A85A0000}"/>
    <cellStyle name="Normal 3 13 3 5 3 2" xfId="20262" xr:uid="{00000000-0005-0000-0000-0000A95A0000}"/>
    <cellStyle name="Normal 3 13 3 5 3 3" xfId="19745" xr:uid="{00000000-0005-0000-0000-0000AA5A0000}"/>
    <cellStyle name="Normal 3 13 3 5 3 4" xfId="21200" xr:uid="{00000000-0005-0000-0000-0000AB5A0000}"/>
    <cellStyle name="Normal 3 13 3 5 3 5" xfId="21832" xr:uid="{00000000-0005-0000-0000-0000AC5A0000}"/>
    <cellStyle name="Normal 3 13 3 5 3 6" xfId="22517" xr:uid="{00000000-0005-0000-0000-0000AD5A0000}"/>
    <cellStyle name="Normal 3 13 3 5 3 7" xfId="21251" xr:uid="{00000000-0005-0000-0000-0000AE5A0000}"/>
    <cellStyle name="Normal 3 13 3 5 3 8" xfId="23936" xr:uid="{00000000-0005-0000-0000-0000AF5A0000}"/>
    <cellStyle name="Normal 3 13 3 5 3 9" xfId="24966" xr:uid="{00000000-0005-0000-0000-0000B05A0000}"/>
    <cellStyle name="Normal 3 13 3 5 4" xfId="18996" xr:uid="{00000000-0005-0000-0000-0000B15A0000}"/>
    <cellStyle name="Normal 3 13 3 6" xfId="18532" xr:uid="{00000000-0005-0000-0000-0000B25A0000}"/>
    <cellStyle name="Normal 3 13 3 6 2" xfId="18747" xr:uid="{00000000-0005-0000-0000-0000B35A0000}"/>
    <cellStyle name="Normal 3 13 3 6 2 10" xfId="21562" xr:uid="{00000000-0005-0000-0000-0000B45A0000}"/>
    <cellStyle name="Normal 3 13 3 6 2 11" xfId="26177" xr:uid="{00000000-0005-0000-0000-0000B55A0000}"/>
    <cellStyle name="Normal 3 13 3 6 2 12" xfId="22772" xr:uid="{00000000-0005-0000-0000-0000B65A0000}"/>
    <cellStyle name="Normal 3 13 3 6 2 13" xfId="26760" xr:uid="{00000000-0005-0000-0000-0000B75A0000}"/>
    <cellStyle name="Normal 3 13 3 6 2 2" xfId="20264" xr:uid="{00000000-0005-0000-0000-0000B85A0000}"/>
    <cellStyle name="Normal 3 13 3 6 2 3" xfId="20653" xr:uid="{00000000-0005-0000-0000-0000B95A0000}"/>
    <cellStyle name="Normal 3 13 3 6 2 4" xfId="19300" xr:uid="{00000000-0005-0000-0000-0000BA5A0000}"/>
    <cellStyle name="Normal 3 13 3 6 2 5" xfId="19290" xr:uid="{00000000-0005-0000-0000-0000BB5A0000}"/>
    <cellStyle name="Normal 3 13 3 6 2 6" xfId="19985" xr:uid="{00000000-0005-0000-0000-0000BC5A0000}"/>
    <cellStyle name="Normal 3 13 3 6 2 7" xfId="23220" xr:uid="{00000000-0005-0000-0000-0000BD5A0000}"/>
    <cellStyle name="Normal 3 13 3 6 2 8" xfId="21282" xr:uid="{00000000-0005-0000-0000-0000BE5A0000}"/>
    <cellStyle name="Normal 3 13 3 6 2 9" xfId="20675" xr:uid="{00000000-0005-0000-0000-0000BF5A0000}"/>
    <cellStyle name="Normal 3 13 3 6 3" xfId="19269" xr:uid="{00000000-0005-0000-0000-0000C05A0000}"/>
    <cellStyle name="Normal 3 13 3 7" xfId="18732" xr:uid="{00000000-0005-0000-0000-0000C15A0000}"/>
    <cellStyle name="Normal 3 13 3 7 10" xfId="25288" xr:uid="{00000000-0005-0000-0000-0000C25A0000}"/>
    <cellStyle name="Normal 3 13 3 7 11" xfId="25892" xr:uid="{00000000-0005-0000-0000-0000C35A0000}"/>
    <cellStyle name="Normal 3 13 3 7 12" xfId="26291" xr:uid="{00000000-0005-0000-0000-0000C45A0000}"/>
    <cellStyle name="Normal 3 13 3 7 13" xfId="25322" xr:uid="{00000000-0005-0000-0000-0000C55A0000}"/>
    <cellStyle name="Normal 3 13 3 7 2" xfId="20249" xr:uid="{00000000-0005-0000-0000-0000C65A0000}"/>
    <cellStyle name="Normal 3 13 3 7 3" xfId="20774" xr:uid="{00000000-0005-0000-0000-0000C75A0000}"/>
    <cellStyle name="Normal 3 13 3 7 4" xfId="21335" xr:uid="{00000000-0005-0000-0000-0000C85A0000}"/>
    <cellStyle name="Normal 3 13 3 7 5" xfId="21997" xr:uid="{00000000-0005-0000-0000-0000C95A0000}"/>
    <cellStyle name="Normal 3 13 3 7 6" xfId="22686" xr:uid="{00000000-0005-0000-0000-0000CA5A0000}"/>
    <cellStyle name="Normal 3 13 3 7 7" xfId="21147" xr:uid="{00000000-0005-0000-0000-0000CB5A0000}"/>
    <cellStyle name="Normal 3 13 3 7 8" xfId="24106" xr:uid="{00000000-0005-0000-0000-0000CC5A0000}"/>
    <cellStyle name="Normal 3 13 3 7 9" xfId="23075" xr:uid="{00000000-0005-0000-0000-0000CD5A0000}"/>
    <cellStyle name="Normal 3 13 3 8" xfId="19599" xr:uid="{00000000-0005-0000-0000-0000CE5A0000}"/>
    <cellStyle name="Normal 3 13 3_Fordelinger" xfId="18268" xr:uid="{00000000-0005-0000-0000-0000CF5A0000}"/>
    <cellStyle name="Normal 3 13 4" xfId="18269" xr:uid="{00000000-0005-0000-0000-0000D05A0000}"/>
    <cellStyle name="Normal 3 13 4 2" xfId="18387" xr:uid="{00000000-0005-0000-0000-0000D15A0000}"/>
    <cellStyle name="Normal 3 13 4 2 2" xfId="18541" xr:uid="{00000000-0005-0000-0000-0000D25A0000}"/>
    <cellStyle name="Normal 3 13 4 2 2 2" xfId="18750" xr:uid="{00000000-0005-0000-0000-0000D35A0000}"/>
    <cellStyle name="Normal 3 13 4 2 2 2 10" xfId="22385" xr:uid="{00000000-0005-0000-0000-0000D45A0000}"/>
    <cellStyle name="Normal 3 13 4 2 2 2 11" xfId="25898" xr:uid="{00000000-0005-0000-0000-0000D55A0000}"/>
    <cellStyle name="Normal 3 13 4 2 2 2 12" xfId="24482" xr:uid="{00000000-0005-0000-0000-0000D65A0000}"/>
    <cellStyle name="Normal 3 13 4 2 2 2 13" xfId="25356" xr:uid="{00000000-0005-0000-0000-0000D75A0000}"/>
    <cellStyle name="Normal 3 13 4 2 2 2 2" xfId="20267" xr:uid="{00000000-0005-0000-0000-0000D85A0000}"/>
    <cellStyle name="Normal 3 13 4 2 2 2 3" xfId="20907" xr:uid="{00000000-0005-0000-0000-0000D95A0000}"/>
    <cellStyle name="Normal 3 13 4 2 2 2 4" xfId="19047" xr:uid="{00000000-0005-0000-0000-0000DA5A0000}"/>
    <cellStyle name="Normal 3 13 4 2 2 2 5" xfId="18926" xr:uid="{00000000-0005-0000-0000-0000DB5A0000}"/>
    <cellStyle name="Normal 3 13 4 2 2 2 6" xfId="21091" xr:uid="{00000000-0005-0000-0000-0000DC5A0000}"/>
    <cellStyle name="Normal 3 13 4 2 2 2 7" xfId="19291" xr:uid="{00000000-0005-0000-0000-0000DD5A0000}"/>
    <cellStyle name="Normal 3 13 4 2 2 2 8" xfId="19425" xr:uid="{00000000-0005-0000-0000-0000DE5A0000}"/>
    <cellStyle name="Normal 3 13 4 2 2 2 9" xfId="22260" xr:uid="{00000000-0005-0000-0000-0000DF5A0000}"/>
    <cellStyle name="Normal 3 13 4 2 2 3" xfId="18995" xr:uid="{00000000-0005-0000-0000-0000E05A0000}"/>
    <cellStyle name="Normal 3 13 4 2 3" xfId="18749" xr:uid="{00000000-0005-0000-0000-0000E15A0000}"/>
    <cellStyle name="Normal 3 13 4 2 3 10" xfId="25444" xr:uid="{00000000-0005-0000-0000-0000E25A0000}"/>
    <cellStyle name="Normal 3 13 4 2 3 11" xfId="26176" xr:uid="{00000000-0005-0000-0000-0000E35A0000}"/>
    <cellStyle name="Normal 3 13 4 2 3 12" xfId="26521" xr:uid="{00000000-0005-0000-0000-0000E45A0000}"/>
    <cellStyle name="Normal 3 13 4 2 3 13" xfId="25165" xr:uid="{00000000-0005-0000-0000-0000E55A0000}"/>
    <cellStyle name="Normal 3 13 4 2 3 2" xfId="20266" xr:uid="{00000000-0005-0000-0000-0000E65A0000}"/>
    <cellStyle name="Normal 3 13 4 2 3 3" xfId="19744" xr:uid="{00000000-0005-0000-0000-0000E75A0000}"/>
    <cellStyle name="Normal 3 13 4 2 3 4" xfId="21201" xr:uid="{00000000-0005-0000-0000-0000E85A0000}"/>
    <cellStyle name="Normal 3 13 4 2 3 5" xfId="21833" xr:uid="{00000000-0005-0000-0000-0000E95A0000}"/>
    <cellStyle name="Normal 3 13 4 2 3 6" xfId="22518" xr:uid="{00000000-0005-0000-0000-0000EA5A0000}"/>
    <cellStyle name="Normal 3 13 4 2 3 7" xfId="22041" xr:uid="{00000000-0005-0000-0000-0000EB5A0000}"/>
    <cellStyle name="Normal 3 13 4 2 3 8" xfId="23937" xr:uid="{00000000-0005-0000-0000-0000EC5A0000}"/>
    <cellStyle name="Normal 3 13 4 2 3 9" xfId="23276" xr:uid="{00000000-0005-0000-0000-0000ED5A0000}"/>
    <cellStyle name="Normal 3 13 4 2 4" xfId="19598" xr:uid="{00000000-0005-0000-0000-0000EE5A0000}"/>
    <cellStyle name="Normal 3 13 4 3" xfId="18540" xr:uid="{00000000-0005-0000-0000-0000EF5A0000}"/>
    <cellStyle name="Normal 3 13 4 3 2" xfId="18751" xr:uid="{00000000-0005-0000-0000-0000F05A0000}"/>
    <cellStyle name="Normal 3 13 4 3 2 10" xfId="20618" xr:uid="{00000000-0005-0000-0000-0000F15A0000}"/>
    <cellStyle name="Normal 3 13 4 3 2 11" xfId="23813" xr:uid="{00000000-0005-0000-0000-0000F25A0000}"/>
    <cellStyle name="Normal 3 13 4 3 2 12" xfId="26638" xr:uid="{00000000-0005-0000-0000-0000F35A0000}"/>
    <cellStyle name="Normal 3 13 4 3 2 13" xfId="26859" xr:uid="{00000000-0005-0000-0000-0000F45A0000}"/>
    <cellStyle name="Normal 3 13 4 3 2 2" xfId="20268" xr:uid="{00000000-0005-0000-0000-0000F55A0000}"/>
    <cellStyle name="Normal 3 13 4 3 2 3" xfId="20519" xr:uid="{00000000-0005-0000-0000-0000F65A0000}"/>
    <cellStyle name="Normal 3 13 4 3 2 4" xfId="19650" xr:uid="{00000000-0005-0000-0000-0000F75A0000}"/>
    <cellStyle name="Normal 3 13 4 3 2 5" xfId="19473" xr:uid="{00000000-0005-0000-0000-0000F85A0000}"/>
    <cellStyle name="Normal 3 13 4 3 2 6" xfId="21381" xr:uid="{00000000-0005-0000-0000-0000F95A0000}"/>
    <cellStyle name="Normal 3 13 4 3 2 7" xfId="23221" xr:uid="{00000000-0005-0000-0000-0000FA5A0000}"/>
    <cellStyle name="Normal 3 13 4 3 2 8" xfId="21887" xr:uid="{00000000-0005-0000-0000-0000FB5A0000}"/>
    <cellStyle name="Normal 3 13 4 3 2 9" xfId="24967" xr:uid="{00000000-0005-0000-0000-0000FC5A0000}"/>
    <cellStyle name="Normal 3 13 4 3 3" xfId="19400" xr:uid="{00000000-0005-0000-0000-0000FD5A0000}"/>
    <cellStyle name="Normal 3 13 4 4" xfId="18748" xr:uid="{00000000-0005-0000-0000-0000FE5A0000}"/>
    <cellStyle name="Normal 3 13 4 4 10" xfId="25121" xr:uid="{00000000-0005-0000-0000-0000FF5A0000}"/>
    <cellStyle name="Normal 3 13 4 4 11" xfId="23500" xr:uid="{00000000-0005-0000-0000-0000005B0000}"/>
    <cellStyle name="Normal 3 13 4 4 12" xfId="26410" xr:uid="{00000000-0005-0000-0000-0000015B0000}"/>
    <cellStyle name="Normal 3 13 4 4 13" xfId="22393" xr:uid="{00000000-0005-0000-0000-0000025B0000}"/>
    <cellStyle name="Normal 3 13 4 4 2" xfId="20265" xr:uid="{00000000-0005-0000-0000-0000035B0000}"/>
    <cellStyle name="Normal 3 13 4 4 3" xfId="20776" xr:uid="{00000000-0005-0000-0000-0000045B0000}"/>
    <cellStyle name="Normal 3 13 4 4 4" xfId="21490" xr:uid="{00000000-0005-0000-0000-0000055B0000}"/>
    <cellStyle name="Normal 3 13 4 4 5" xfId="22176" xr:uid="{00000000-0005-0000-0000-0000065B0000}"/>
    <cellStyle name="Normal 3 13 4 4 6" xfId="22862" xr:uid="{00000000-0005-0000-0000-0000075B0000}"/>
    <cellStyle name="Normal 3 13 4 4 7" xfId="21699" xr:uid="{00000000-0005-0000-0000-0000085B0000}"/>
    <cellStyle name="Normal 3 13 4 4 8" xfId="24291" xr:uid="{00000000-0005-0000-0000-0000095B0000}"/>
    <cellStyle name="Normal 3 13 4 4 9" xfId="22398" xr:uid="{00000000-0005-0000-0000-00000A5B0000}"/>
    <cellStyle name="Normal 3 13 4 5" xfId="19272" xr:uid="{00000000-0005-0000-0000-00000B5B0000}"/>
    <cellStyle name="Normal 3 13 5" xfId="18270" xr:uid="{00000000-0005-0000-0000-00000C5B0000}"/>
    <cellStyle name="Normal 3 13 5 2" xfId="18388" xr:uid="{00000000-0005-0000-0000-00000D5B0000}"/>
    <cellStyle name="Normal 3 13 5 2 2" xfId="18543" xr:uid="{00000000-0005-0000-0000-00000E5B0000}"/>
    <cellStyle name="Normal 3 13 5 2 2 2" xfId="18754" xr:uid="{00000000-0005-0000-0000-00000F5B0000}"/>
    <cellStyle name="Normal 3 13 5 2 2 2 10" xfId="22386" xr:uid="{00000000-0005-0000-0000-0000105B0000}"/>
    <cellStyle name="Normal 3 13 5 2 2 2 11" xfId="25899" xr:uid="{00000000-0005-0000-0000-0000115B0000}"/>
    <cellStyle name="Normal 3 13 5 2 2 2 12" xfId="25934" xr:uid="{00000000-0005-0000-0000-0000125B0000}"/>
    <cellStyle name="Normal 3 13 5 2 2 2 13" xfId="27049" xr:uid="{00000000-0005-0000-0000-0000135B0000}"/>
    <cellStyle name="Normal 3 13 5 2 2 2 2" xfId="20271" xr:uid="{00000000-0005-0000-0000-0000145B0000}"/>
    <cellStyle name="Normal 3 13 5 2 2 2 3" xfId="19556" xr:uid="{00000000-0005-0000-0000-0000155B0000}"/>
    <cellStyle name="Normal 3 13 5 2 2 2 4" xfId="21338" xr:uid="{00000000-0005-0000-0000-0000165B0000}"/>
    <cellStyle name="Normal 3 13 5 2 2 2 5" xfId="22000" xr:uid="{00000000-0005-0000-0000-0000175B0000}"/>
    <cellStyle name="Normal 3 13 5 2 2 2 6" xfId="22689" xr:uid="{00000000-0005-0000-0000-0000185B0000}"/>
    <cellStyle name="Normal 3 13 5 2 2 2 7" xfId="23587" xr:uid="{00000000-0005-0000-0000-0000195B0000}"/>
    <cellStyle name="Normal 3 13 5 2 2 2 8" xfId="24109" xr:uid="{00000000-0005-0000-0000-00001A5B0000}"/>
    <cellStyle name="Normal 3 13 5 2 2 2 9" xfId="24449" xr:uid="{00000000-0005-0000-0000-00001B5B0000}"/>
    <cellStyle name="Normal 3 13 5 2 2 3" xfId="19271" xr:uid="{00000000-0005-0000-0000-00001C5B0000}"/>
    <cellStyle name="Normal 3 13 5 2 3" xfId="18753" xr:uid="{00000000-0005-0000-0000-00001D5B0000}"/>
    <cellStyle name="Normal 3 13 5 2 3 10" xfId="25445" xr:uid="{00000000-0005-0000-0000-00001E5B0000}"/>
    <cellStyle name="Normal 3 13 5 2 3 11" xfId="24852" xr:uid="{00000000-0005-0000-0000-00001F5B0000}"/>
    <cellStyle name="Normal 3 13 5 2 3 12" xfId="25795" xr:uid="{00000000-0005-0000-0000-0000205B0000}"/>
    <cellStyle name="Normal 3 13 5 2 3 13" xfId="23263" xr:uid="{00000000-0005-0000-0000-0000215B0000}"/>
    <cellStyle name="Normal 3 13 5 2 3 2" xfId="20270" xr:uid="{00000000-0005-0000-0000-0000225B0000}"/>
    <cellStyle name="Normal 3 13 5 2 3 3" xfId="19742" xr:uid="{00000000-0005-0000-0000-0000235B0000}"/>
    <cellStyle name="Normal 3 13 5 2 3 4" xfId="21202" xr:uid="{00000000-0005-0000-0000-0000245B0000}"/>
    <cellStyle name="Normal 3 13 5 2 3 5" xfId="21834" xr:uid="{00000000-0005-0000-0000-0000255B0000}"/>
    <cellStyle name="Normal 3 13 5 2 3 6" xfId="22519" xr:uid="{00000000-0005-0000-0000-0000265B0000}"/>
    <cellStyle name="Normal 3 13 5 2 3 7" xfId="21289" xr:uid="{00000000-0005-0000-0000-0000275B0000}"/>
    <cellStyle name="Normal 3 13 5 2 3 8" xfId="23938" xr:uid="{00000000-0005-0000-0000-0000285B0000}"/>
    <cellStyle name="Normal 3 13 5 2 3 9" xfId="22573" xr:uid="{00000000-0005-0000-0000-0000295B0000}"/>
    <cellStyle name="Normal 3 13 5 2 4" xfId="19596" xr:uid="{00000000-0005-0000-0000-00002A5B0000}"/>
    <cellStyle name="Normal 3 13 5 3" xfId="18542" xr:uid="{00000000-0005-0000-0000-00002B5B0000}"/>
    <cellStyle name="Normal 3 13 5 3 2" xfId="18755" xr:uid="{00000000-0005-0000-0000-00002C5B0000}"/>
    <cellStyle name="Normal 3 13 5 3 2 10" xfId="25446" xr:uid="{00000000-0005-0000-0000-00002D5B0000}"/>
    <cellStyle name="Normal 3 13 5 3 2 11" xfId="26033" xr:uid="{00000000-0005-0000-0000-00002E5B0000}"/>
    <cellStyle name="Normal 3 13 5 3 2 12" xfId="20876" xr:uid="{00000000-0005-0000-0000-00002F5B0000}"/>
    <cellStyle name="Normal 3 13 5 3 2 13" xfId="26860" xr:uid="{00000000-0005-0000-0000-0000305B0000}"/>
    <cellStyle name="Normal 3 13 5 3 2 2" xfId="20272" xr:uid="{00000000-0005-0000-0000-0000315B0000}"/>
    <cellStyle name="Normal 3 13 5 3 2 3" xfId="19292" xr:uid="{00000000-0005-0000-0000-0000325B0000}"/>
    <cellStyle name="Normal 3 13 5 3 2 4" xfId="19420" xr:uid="{00000000-0005-0000-0000-0000335B0000}"/>
    <cellStyle name="Normal 3 13 5 3 2 5" xfId="18934" xr:uid="{00000000-0005-0000-0000-0000345B0000}"/>
    <cellStyle name="Normal 3 13 5 3 2 6" xfId="20737" xr:uid="{00000000-0005-0000-0000-0000355B0000}"/>
    <cellStyle name="Normal 3 13 5 3 2 7" xfId="23030" xr:uid="{00000000-0005-0000-0000-0000365B0000}"/>
    <cellStyle name="Normal 3 13 5 3 2 8" xfId="22383" xr:uid="{00000000-0005-0000-0000-0000375B0000}"/>
    <cellStyle name="Normal 3 13 5 3 2 9" xfId="24793" xr:uid="{00000000-0005-0000-0000-0000385B0000}"/>
    <cellStyle name="Normal 3 13 5 3 3" xfId="19597" xr:uid="{00000000-0005-0000-0000-0000395B0000}"/>
    <cellStyle name="Normal 3 13 5 4" xfId="18752" xr:uid="{00000000-0005-0000-0000-00003A5B0000}"/>
    <cellStyle name="Normal 3 13 5 4 10" xfId="25123" xr:uid="{00000000-0005-0000-0000-00003B5B0000}"/>
    <cellStyle name="Normal 3 13 5 4 11" xfId="23986" xr:uid="{00000000-0005-0000-0000-00003C5B0000}"/>
    <cellStyle name="Normal 3 13 5 4 12" xfId="26292" xr:uid="{00000000-0005-0000-0000-00003D5B0000}"/>
    <cellStyle name="Normal 3 13 5 4 13" xfId="27050" xr:uid="{00000000-0005-0000-0000-00003E5B0000}"/>
    <cellStyle name="Normal 3 13 5 4 2" xfId="20269" xr:uid="{00000000-0005-0000-0000-00003F5B0000}"/>
    <cellStyle name="Normal 3 13 5 4 3" xfId="19743" xr:uid="{00000000-0005-0000-0000-0000405B0000}"/>
    <cellStyle name="Normal 3 13 5 4 4" xfId="19134" xr:uid="{00000000-0005-0000-0000-0000415B0000}"/>
    <cellStyle name="Normal 3 13 5 4 5" xfId="20448" xr:uid="{00000000-0005-0000-0000-0000425B0000}"/>
    <cellStyle name="Normal 3 13 5 4 6" xfId="19296" xr:uid="{00000000-0005-0000-0000-0000435B0000}"/>
    <cellStyle name="Normal 3 13 5 4 7" xfId="23400" xr:uid="{00000000-0005-0000-0000-0000445B0000}"/>
    <cellStyle name="Normal 3 13 5 4 8" xfId="22224" xr:uid="{00000000-0005-0000-0000-0000455B0000}"/>
    <cellStyle name="Normal 3 13 5 4 9" xfId="24624" xr:uid="{00000000-0005-0000-0000-0000465B0000}"/>
    <cellStyle name="Normal 3 13 5 5" xfId="19270" xr:uid="{00000000-0005-0000-0000-0000475B0000}"/>
    <cellStyle name="Normal 3 13 6" xfId="18256" xr:uid="{00000000-0005-0000-0000-0000485B0000}"/>
    <cellStyle name="Normal 3 13 6 2" xfId="18389" xr:uid="{00000000-0005-0000-0000-0000495B0000}"/>
    <cellStyle name="Normal 3 13 6 2 2" xfId="18545" xr:uid="{00000000-0005-0000-0000-00004A5B0000}"/>
    <cellStyle name="Normal 3 13 6 2 2 2" xfId="18758" xr:uid="{00000000-0005-0000-0000-00004B5B0000}"/>
    <cellStyle name="Normal 3 13 6 2 2 2 10" xfId="23274" xr:uid="{00000000-0005-0000-0000-00004C5B0000}"/>
    <cellStyle name="Normal 3 13 6 2 2 2 11" xfId="25749" xr:uid="{00000000-0005-0000-0000-00004D5B0000}"/>
    <cellStyle name="Normal 3 13 6 2 2 2 12" xfId="26407" xr:uid="{00000000-0005-0000-0000-00004E5B0000}"/>
    <cellStyle name="Normal 3 13 6 2 2 2 13" xfId="25486" xr:uid="{00000000-0005-0000-0000-00004F5B0000}"/>
    <cellStyle name="Normal 3 13 6 2 2 2 2" xfId="20275" xr:uid="{00000000-0005-0000-0000-0000505B0000}"/>
    <cellStyle name="Normal 3 13 6 2 2 2 3" xfId="19741" xr:uid="{00000000-0005-0000-0000-0000515B0000}"/>
    <cellStyle name="Normal 3 13 6 2 2 2 4" xfId="19131" xr:uid="{00000000-0005-0000-0000-0000525B0000}"/>
    <cellStyle name="Normal 3 13 6 2 2 2 5" xfId="20560" xr:uid="{00000000-0005-0000-0000-0000535B0000}"/>
    <cellStyle name="Normal 3 13 6 2 2 2 6" xfId="20829" xr:uid="{00000000-0005-0000-0000-0000545B0000}"/>
    <cellStyle name="Normal 3 13 6 2 2 2 7" xfId="21283" xr:uid="{00000000-0005-0000-0000-0000555B0000}"/>
    <cellStyle name="Normal 3 13 6 2 2 2 8" xfId="22731" xr:uid="{00000000-0005-0000-0000-0000565B0000}"/>
    <cellStyle name="Normal 3 13 6 2 2 2 9" xfId="24451" xr:uid="{00000000-0005-0000-0000-0000575B0000}"/>
    <cellStyle name="Normal 3 13 6 2 2 3" xfId="18993" xr:uid="{00000000-0005-0000-0000-0000585B0000}"/>
    <cellStyle name="Normal 3 13 6 2 3" xfId="18757" xr:uid="{00000000-0005-0000-0000-0000595B0000}"/>
    <cellStyle name="Normal 3 13 6 2 3 10" xfId="22555" xr:uid="{00000000-0005-0000-0000-00005A5B0000}"/>
    <cellStyle name="Normal 3 13 6 2 3 11" xfId="26178" xr:uid="{00000000-0005-0000-0000-00005B5B0000}"/>
    <cellStyle name="Normal 3 13 6 2 3 12" xfId="26639" xr:uid="{00000000-0005-0000-0000-00005C5B0000}"/>
    <cellStyle name="Normal 3 13 6 2 3 13" xfId="25642" xr:uid="{00000000-0005-0000-0000-00005D5B0000}"/>
    <cellStyle name="Normal 3 13 6 2 3 2" xfId="20274" xr:uid="{00000000-0005-0000-0000-00005E5B0000}"/>
    <cellStyle name="Normal 3 13 6 2 3 3" xfId="20650" xr:uid="{00000000-0005-0000-0000-00005F5B0000}"/>
    <cellStyle name="Normal 3 13 6 2 3 4" xfId="21046" xr:uid="{00000000-0005-0000-0000-0000605B0000}"/>
    <cellStyle name="Normal 3 13 6 2 3 5" xfId="21656" xr:uid="{00000000-0005-0000-0000-0000615B0000}"/>
    <cellStyle name="Normal 3 13 6 2 3 6" xfId="22338" xr:uid="{00000000-0005-0000-0000-0000625B0000}"/>
    <cellStyle name="Normal 3 13 6 2 3 7" xfId="21397" xr:uid="{00000000-0005-0000-0000-0000635B0000}"/>
    <cellStyle name="Normal 3 13 6 2 3 8" xfId="23758" xr:uid="{00000000-0005-0000-0000-0000645B0000}"/>
    <cellStyle name="Normal 3 13 6 2 3 9" xfId="23445" xr:uid="{00000000-0005-0000-0000-0000655B0000}"/>
    <cellStyle name="Normal 3 13 6 2 4" xfId="19399" xr:uid="{00000000-0005-0000-0000-0000665B0000}"/>
    <cellStyle name="Normal 3 13 6 3" xfId="18544" xr:uid="{00000000-0005-0000-0000-0000675B0000}"/>
    <cellStyle name="Normal 3 13 6 3 2" xfId="18759" xr:uid="{00000000-0005-0000-0000-0000685B0000}"/>
    <cellStyle name="Normal 3 13 6 3 2 10" xfId="24837" xr:uid="{00000000-0005-0000-0000-0000695B0000}"/>
    <cellStyle name="Normal 3 13 6 3 2 11" xfId="24834" xr:uid="{00000000-0005-0000-0000-00006A5B0000}"/>
    <cellStyle name="Normal 3 13 6 3 2 12" xfId="24992" xr:uid="{00000000-0005-0000-0000-00006B5B0000}"/>
    <cellStyle name="Normal 3 13 6 3 2 13" xfId="26861" xr:uid="{00000000-0005-0000-0000-00006C5B0000}"/>
    <cellStyle name="Normal 3 13 6 3 2 2" xfId="20276" xr:uid="{00000000-0005-0000-0000-00006D5B0000}"/>
    <cellStyle name="Normal 3 13 6 3 2 3" xfId="20520" xr:uid="{00000000-0005-0000-0000-00006E5B0000}"/>
    <cellStyle name="Normal 3 13 6 3 2 4" xfId="19193" xr:uid="{00000000-0005-0000-0000-00006F5B0000}"/>
    <cellStyle name="Normal 3 13 6 3 2 5" xfId="20812" xr:uid="{00000000-0005-0000-0000-0000705B0000}"/>
    <cellStyle name="Normal 3 13 6 3 2 6" xfId="19295" xr:uid="{00000000-0005-0000-0000-0000715B0000}"/>
    <cellStyle name="Normal 3 13 6 3 2 7" xfId="21527" xr:uid="{00000000-0005-0000-0000-0000725B0000}"/>
    <cellStyle name="Normal 3 13 6 3 2 8" xfId="21925" xr:uid="{00000000-0005-0000-0000-0000735B0000}"/>
    <cellStyle name="Normal 3 13 6 3 2 9" xfId="24794" xr:uid="{00000000-0005-0000-0000-0000745B0000}"/>
    <cellStyle name="Normal 3 13 6 3 3" xfId="19398" xr:uid="{00000000-0005-0000-0000-0000755B0000}"/>
    <cellStyle name="Normal 3 13 6 4" xfId="18756" xr:uid="{00000000-0005-0000-0000-0000765B0000}"/>
    <cellStyle name="Normal 3 13 6 4 10" xfId="25122" xr:uid="{00000000-0005-0000-0000-0000775B0000}"/>
    <cellStyle name="Normal 3 13 6 4 11" xfId="24495" xr:uid="{00000000-0005-0000-0000-0000785B0000}"/>
    <cellStyle name="Normal 3 13 6 4 12" xfId="24479" xr:uid="{00000000-0005-0000-0000-0000795B0000}"/>
    <cellStyle name="Normal 3 13 6 4 13" xfId="26070" xr:uid="{00000000-0005-0000-0000-00007A5B0000}"/>
    <cellStyle name="Normal 3 13 6 4 2" xfId="20273" xr:uid="{00000000-0005-0000-0000-00007B5B0000}"/>
    <cellStyle name="Normal 3 13 6 4 3" xfId="20908" xr:uid="{00000000-0005-0000-0000-00007C5B0000}"/>
    <cellStyle name="Normal 3 13 6 4 4" xfId="21492" xr:uid="{00000000-0005-0000-0000-00007D5B0000}"/>
    <cellStyle name="Normal 3 13 6 4 5" xfId="22178" xr:uid="{00000000-0005-0000-0000-00007E5B0000}"/>
    <cellStyle name="Normal 3 13 6 4 6" xfId="22864" xr:uid="{00000000-0005-0000-0000-00007F5B0000}"/>
    <cellStyle name="Normal 3 13 6 4 7" xfId="20731" xr:uid="{00000000-0005-0000-0000-0000805B0000}"/>
    <cellStyle name="Normal 3 13 6 4 8" xfId="24293" xr:uid="{00000000-0005-0000-0000-0000815B0000}"/>
    <cellStyle name="Normal 3 13 6 4 9" xfId="23076" xr:uid="{00000000-0005-0000-0000-0000825B0000}"/>
    <cellStyle name="Normal 3 13 6 5" xfId="18994" xr:uid="{00000000-0005-0000-0000-0000835B0000}"/>
    <cellStyle name="Normal 3 13 7" xfId="18374" xr:uid="{00000000-0005-0000-0000-0000845B0000}"/>
    <cellStyle name="Normal 3 13 7 2" xfId="18546" xr:uid="{00000000-0005-0000-0000-0000855B0000}"/>
    <cellStyle name="Normal 3 13 7 2 2" xfId="18761" xr:uid="{00000000-0005-0000-0000-0000865B0000}"/>
    <cellStyle name="Normal 3 13 7 2 2 10" xfId="25613" xr:uid="{00000000-0005-0000-0000-0000875B0000}"/>
    <cellStyle name="Normal 3 13 7 2 2 11" xfId="25460" xr:uid="{00000000-0005-0000-0000-0000885B0000}"/>
    <cellStyle name="Normal 3 13 7 2 2 12" xfId="26522" xr:uid="{00000000-0005-0000-0000-0000895B0000}"/>
    <cellStyle name="Normal 3 13 7 2 2 13" xfId="25530" xr:uid="{00000000-0005-0000-0000-00008A5B0000}"/>
    <cellStyle name="Normal 3 13 7 2 2 2" xfId="20278" xr:uid="{00000000-0005-0000-0000-00008B5B0000}"/>
    <cellStyle name="Normal 3 13 7 2 2 3" xfId="19740" xr:uid="{00000000-0005-0000-0000-00008C5B0000}"/>
    <cellStyle name="Normal 3 13 7 2 2 4" xfId="18909" xr:uid="{00000000-0005-0000-0000-00008D5B0000}"/>
    <cellStyle name="Normal 3 13 7 2 2 5" xfId="20007" xr:uid="{00000000-0005-0000-0000-00008E5B0000}"/>
    <cellStyle name="Normal 3 13 7 2 2 6" xfId="20945" xr:uid="{00000000-0005-0000-0000-00008F5B0000}"/>
    <cellStyle name="Normal 3 13 7 2 2 7" xfId="23218" xr:uid="{00000000-0005-0000-0000-0000905B0000}"/>
    <cellStyle name="Normal 3 13 7 2 2 8" xfId="21107" xr:uid="{00000000-0005-0000-0000-0000915B0000}"/>
    <cellStyle name="Normal 3 13 7 2 2 9" xfId="24795" xr:uid="{00000000-0005-0000-0000-0000925B0000}"/>
    <cellStyle name="Normal 3 13 7 2 3" xfId="19397" xr:uid="{00000000-0005-0000-0000-0000935B0000}"/>
    <cellStyle name="Normal 3 13 7 3" xfId="18760" xr:uid="{00000000-0005-0000-0000-0000945B0000}"/>
    <cellStyle name="Normal 3 13 7 3 10" xfId="25291" xr:uid="{00000000-0005-0000-0000-0000955B0000}"/>
    <cellStyle name="Normal 3 13 7 3 11" xfId="22084" xr:uid="{00000000-0005-0000-0000-0000965B0000}"/>
    <cellStyle name="Normal 3 13 7 3 12" xfId="26293" xr:uid="{00000000-0005-0000-0000-0000975B0000}"/>
    <cellStyle name="Normal 3 13 7 3 13" xfId="26954" xr:uid="{00000000-0005-0000-0000-0000985B0000}"/>
    <cellStyle name="Normal 3 13 7 3 2" xfId="20277" xr:uid="{00000000-0005-0000-0000-0000995B0000}"/>
    <cellStyle name="Normal 3 13 7 3 3" xfId="20777" xr:uid="{00000000-0005-0000-0000-00009A5B0000}"/>
    <cellStyle name="Normal 3 13 7 3 4" xfId="19231" xr:uid="{00000000-0005-0000-0000-00009B5B0000}"/>
    <cellStyle name="Normal 3 13 7 3 5" xfId="20573" xr:uid="{00000000-0005-0000-0000-00009C5B0000}"/>
    <cellStyle name="Normal 3 13 7 3 6" xfId="19878" xr:uid="{00000000-0005-0000-0000-00009D5B0000}"/>
    <cellStyle name="Normal 3 13 7 3 7" xfId="23588" xr:uid="{00000000-0005-0000-0000-00009E5B0000}"/>
    <cellStyle name="Normal 3 13 7 3 8" xfId="21571" xr:uid="{00000000-0005-0000-0000-00009F5B0000}"/>
    <cellStyle name="Normal 3 13 7 3 9" xfId="20012" xr:uid="{00000000-0005-0000-0000-0000A05B0000}"/>
    <cellStyle name="Normal 3 13 7 4" xfId="18992" xr:uid="{00000000-0005-0000-0000-0000A15B0000}"/>
    <cellStyle name="Normal 3 13 8" xfId="18515" xr:uid="{00000000-0005-0000-0000-0000A25B0000}"/>
    <cellStyle name="Normal 3 13 8 2" xfId="18762" xr:uid="{00000000-0005-0000-0000-0000A35B0000}"/>
    <cellStyle name="Normal 3 13 8 2 10" xfId="23802" xr:uid="{00000000-0005-0000-0000-0000A45B0000}"/>
    <cellStyle name="Normal 3 13 8 2 11" xfId="25487" xr:uid="{00000000-0005-0000-0000-0000A55B0000}"/>
    <cellStyle name="Normal 3 13 8 2 12" xfId="25319" xr:uid="{00000000-0005-0000-0000-0000A65B0000}"/>
    <cellStyle name="Normal 3 13 8 2 13" xfId="27051" xr:uid="{00000000-0005-0000-0000-0000A75B0000}"/>
    <cellStyle name="Normal 3 13 8 2 2" xfId="20279" xr:uid="{00000000-0005-0000-0000-0000A85B0000}"/>
    <cellStyle name="Normal 3 13 8 2 3" xfId="19739" xr:uid="{00000000-0005-0000-0000-0000A95B0000}"/>
    <cellStyle name="Normal 3 13 8 2 4" xfId="21493" xr:uid="{00000000-0005-0000-0000-0000AA5B0000}"/>
    <cellStyle name="Normal 3 13 8 2 5" xfId="22179" xr:uid="{00000000-0005-0000-0000-0000AB5B0000}"/>
    <cellStyle name="Normal 3 13 8 2 6" xfId="22865" xr:uid="{00000000-0005-0000-0000-0000AC5B0000}"/>
    <cellStyle name="Normal 3 13 8 2 7" xfId="20730" xr:uid="{00000000-0005-0000-0000-0000AD5B0000}"/>
    <cellStyle name="Normal 3 13 8 2 8" xfId="24294" xr:uid="{00000000-0005-0000-0000-0000AE5B0000}"/>
    <cellStyle name="Normal 3 13 8 2 9" xfId="24450" xr:uid="{00000000-0005-0000-0000-0000AF5B0000}"/>
    <cellStyle name="Normal 3 13 8 3" xfId="19268" xr:uid="{00000000-0005-0000-0000-0000B05B0000}"/>
    <cellStyle name="Normal 3 13 9" xfId="18699" xr:uid="{00000000-0005-0000-0000-0000B15B0000}"/>
    <cellStyle name="Normal 3 13 9 10" xfId="20574" xr:uid="{00000000-0005-0000-0000-0000B25B0000}"/>
    <cellStyle name="Normal 3 13 9 11" xfId="26168" xr:uid="{00000000-0005-0000-0000-0000B35B0000}"/>
    <cellStyle name="Normal 3 13 9 12" xfId="26514" xr:uid="{00000000-0005-0000-0000-0000B45B0000}"/>
    <cellStyle name="Normal 3 13 9 13" xfId="26754" xr:uid="{00000000-0005-0000-0000-0000B55B0000}"/>
    <cellStyle name="Normal 3 13 9 2" xfId="20216" xr:uid="{00000000-0005-0000-0000-0000B65B0000}"/>
    <cellStyle name="Normal 3 13 9 3" xfId="19763" xr:uid="{00000000-0005-0000-0000-0000B75B0000}"/>
    <cellStyle name="Normal 3 13 9 4" xfId="20794" xr:uid="{00000000-0005-0000-0000-0000B85B0000}"/>
    <cellStyle name="Normal 3 13 9 5" xfId="21065" xr:uid="{00000000-0005-0000-0000-0000B95B0000}"/>
    <cellStyle name="Normal 3 13 9 6" xfId="21675" xr:uid="{00000000-0005-0000-0000-0000BA5B0000}"/>
    <cellStyle name="Normal 3 13 9 7" xfId="23199" xr:uid="{00000000-0005-0000-0000-0000BB5B0000}"/>
    <cellStyle name="Normal 3 13 9 8" xfId="23450" xr:uid="{00000000-0005-0000-0000-0000BC5B0000}"/>
    <cellStyle name="Normal 3 13 9 9" xfId="24787" xr:uid="{00000000-0005-0000-0000-0000BD5B0000}"/>
    <cellStyle name="Normal 3 13_Fordelinger" xfId="18271" xr:uid="{00000000-0005-0000-0000-0000BE5B0000}"/>
    <cellStyle name="Normal 3 14" xfId="18112" xr:uid="{00000000-0005-0000-0000-0000BF5B0000}"/>
    <cellStyle name="Normal 3 15" xfId="18613" xr:uid="{00000000-0005-0000-0000-0000C05B0000}"/>
    <cellStyle name="Normal 3 16" xfId="28355" xr:uid="{00000000-0005-0000-0000-0000C15B0000}"/>
    <cellStyle name="Normal 3 17" xfId="29277" xr:uid="{00000000-0005-0000-0000-0000C25B0000}"/>
    <cellStyle name="Normal 3 2" xfId="66" xr:uid="{00000000-0005-0000-0000-0000C35B0000}"/>
    <cellStyle name="Normal 3 2 10" xfId="2547" xr:uid="{00000000-0005-0000-0000-0000C45B0000}"/>
    <cellStyle name="Normal 3 2 10 2" xfId="6939" xr:uid="{00000000-0005-0000-0000-0000C55B0000}"/>
    <cellStyle name="Normal 3 2 10 2 2" xfId="15760" xr:uid="{00000000-0005-0000-0000-0000C65B0000}"/>
    <cellStyle name="Normal 3 2 10 3" xfId="11353" xr:uid="{00000000-0005-0000-0000-0000C75B0000}"/>
    <cellStyle name="Normal 3 2 11" xfId="4728" xr:uid="{00000000-0005-0000-0000-0000C85B0000}"/>
    <cellStyle name="Normal 3 2 11 2" xfId="13550" xr:uid="{00000000-0005-0000-0000-0000C95B0000}"/>
    <cellStyle name="Normal 3 2 12" xfId="9130" xr:uid="{00000000-0005-0000-0000-0000CA5B0000}"/>
    <cellStyle name="Normal 3 2 13" xfId="18116" xr:uid="{00000000-0005-0000-0000-0000CB5B0000}"/>
    <cellStyle name="Normal 3 2 14" xfId="28358" xr:uid="{00000000-0005-0000-0000-0000CC5B0000}"/>
    <cellStyle name="Normal 3 2 15" xfId="29280" xr:uid="{00000000-0005-0000-0000-0000CD5B0000}"/>
    <cellStyle name="Normal 3 2 2" xfId="103" xr:uid="{00000000-0005-0000-0000-0000CE5B0000}"/>
    <cellStyle name="Normal 3 2 2 10" xfId="9137" xr:uid="{00000000-0005-0000-0000-0000CF5B0000}"/>
    <cellStyle name="Normal 3 2 2 11" xfId="28359" xr:uid="{00000000-0005-0000-0000-0000D05B0000}"/>
    <cellStyle name="Normal 3 2 2 12" xfId="29281" xr:uid="{00000000-0005-0000-0000-0000D15B0000}"/>
    <cellStyle name="Normal 3 2 2 2" xfId="202" xr:uid="{00000000-0005-0000-0000-0000D25B0000}"/>
    <cellStyle name="Normal 3 2 2 2 10" xfId="28360" xr:uid="{00000000-0005-0000-0000-0000D35B0000}"/>
    <cellStyle name="Normal 3 2 2 2 11" xfId="29282" xr:uid="{00000000-0005-0000-0000-0000D45B0000}"/>
    <cellStyle name="Normal 3 2 2 2 2" xfId="409" xr:uid="{00000000-0005-0000-0000-0000D55B0000}"/>
    <cellStyle name="Normal 3 2 2 2 2 10" xfId="29283" xr:uid="{00000000-0005-0000-0000-0000D65B0000}"/>
    <cellStyle name="Normal 3 2 2 2 2 2" xfId="902" xr:uid="{00000000-0005-0000-0000-0000D75B0000}"/>
    <cellStyle name="Normal 3 2 2 2 2 2 2" xfId="1340" xr:uid="{00000000-0005-0000-0000-0000D85B0000}"/>
    <cellStyle name="Normal 3 2 2 2 2 2 2 2" xfId="2502" xr:uid="{00000000-0005-0000-0000-0000D95B0000}"/>
    <cellStyle name="Normal 3 2 2 2 2 2 2 2 2" xfId="4673" xr:uid="{00000000-0005-0000-0000-0000DA5B0000}"/>
    <cellStyle name="Normal 3 2 2 2 2 2 2 2 2 2" xfId="9096" xr:uid="{00000000-0005-0000-0000-0000DB5B0000}"/>
    <cellStyle name="Normal 3 2 2 2 2 2 2 2 2 2 2" xfId="17917" xr:uid="{00000000-0005-0000-0000-0000DC5B0000}"/>
    <cellStyle name="Normal 3 2 2 2 2 2 2 2 2 3" xfId="13510" xr:uid="{00000000-0005-0000-0000-0000DD5B0000}"/>
    <cellStyle name="Normal 3 2 2 2 2 2 2 2 3" xfId="6891" xr:uid="{00000000-0005-0000-0000-0000DE5B0000}"/>
    <cellStyle name="Normal 3 2 2 2 2 2 2 2 3 2" xfId="15712" xr:uid="{00000000-0005-0000-0000-0000DF5B0000}"/>
    <cellStyle name="Normal 3 2 2 2 2 2 2 2 4" xfId="11305" xr:uid="{00000000-0005-0000-0000-0000E05B0000}"/>
    <cellStyle name="Normal 3 2 2 2 2 2 2 3" xfId="2007" xr:uid="{00000000-0005-0000-0000-0000E15B0000}"/>
    <cellStyle name="Normal 3 2 2 2 2 2 2 3 2" xfId="3964" xr:uid="{00000000-0005-0000-0000-0000E25B0000}"/>
    <cellStyle name="Normal 3 2 2 2 2 2 2 3 2 2" xfId="8358" xr:uid="{00000000-0005-0000-0000-0000E35B0000}"/>
    <cellStyle name="Normal 3 2 2 2 2 2 2 3 2 2 2" xfId="17179" xr:uid="{00000000-0005-0000-0000-0000E45B0000}"/>
    <cellStyle name="Normal 3 2 2 2 2 2 2 3 2 3" xfId="12772" xr:uid="{00000000-0005-0000-0000-0000E55B0000}"/>
    <cellStyle name="Normal 3 2 2 2 2 2 2 3 3" xfId="6153" xr:uid="{00000000-0005-0000-0000-0000E65B0000}"/>
    <cellStyle name="Normal 3 2 2 2 2 2 2 3 3 2" xfId="14974" xr:uid="{00000000-0005-0000-0000-0000E75B0000}"/>
    <cellStyle name="Normal 3 2 2 2 2 2 2 3 4" xfId="10567" xr:uid="{00000000-0005-0000-0000-0000E85B0000}"/>
    <cellStyle name="Normal 3 2 2 2 2 2 2 4" xfId="3227" xr:uid="{00000000-0005-0000-0000-0000E95B0000}"/>
    <cellStyle name="Normal 3 2 2 2 2 2 2 4 2" xfId="7621" xr:uid="{00000000-0005-0000-0000-0000EA5B0000}"/>
    <cellStyle name="Normal 3 2 2 2 2 2 2 4 2 2" xfId="16442" xr:uid="{00000000-0005-0000-0000-0000EB5B0000}"/>
    <cellStyle name="Normal 3 2 2 2 2 2 2 4 3" xfId="12035" xr:uid="{00000000-0005-0000-0000-0000EC5B0000}"/>
    <cellStyle name="Normal 3 2 2 2 2 2 2 5" xfId="5416" xr:uid="{00000000-0005-0000-0000-0000ED5B0000}"/>
    <cellStyle name="Normal 3 2 2 2 2 2 2 5 2" xfId="14237" xr:uid="{00000000-0005-0000-0000-0000EE5B0000}"/>
    <cellStyle name="Normal 3 2 2 2 2 2 2 6" xfId="9830" xr:uid="{00000000-0005-0000-0000-0000EF5B0000}"/>
    <cellStyle name="Normal 3 2 2 2 2 2 3" xfId="2241" xr:uid="{00000000-0005-0000-0000-0000F05B0000}"/>
    <cellStyle name="Normal 3 2 2 2 2 2 3 2" xfId="4318" xr:uid="{00000000-0005-0000-0000-0000F15B0000}"/>
    <cellStyle name="Normal 3 2 2 2 2 2 3 2 2" xfId="8727" xr:uid="{00000000-0005-0000-0000-0000F25B0000}"/>
    <cellStyle name="Normal 3 2 2 2 2 2 3 2 2 2" xfId="17548" xr:uid="{00000000-0005-0000-0000-0000F35B0000}"/>
    <cellStyle name="Normal 3 2 2 2 2 2 3 2 3" xfId="13141" xr:uid="{00000000-0005-0000-0000-0000F45B0000}"/>
    <cellStyle name="Normal 3 2 2 2 2 2 3 3" xfId="6522" xr:uid="{00000000-0005-0000-0000-0000F55B0000}"/>
    <cellStyle name="Normal 3 2 2 2 2 2 3 3 2" xfId="15343" xr:uid="{00000000-0005-0000-0000-0000F65B0000}"/>
    <cellStyle name="Normal 3 2 2 2 2 2 3 4" xfId="10936" xr:uid="{00000000-0005-0000-0000-0000F75B0000}"/>
    <cellStyle name="Normal 3 2 2 2 2 2 4" xfId="1652" xr:uid="{00000000-0005-0000-0000-0000F85B0000}"/>
    <cellStyle name="Normal 3 2 2 2 2 2 4 2" xfId="3595" xr:uid="{00000000-0005-0000-0000-0000F95B0000}"/>
    <cellStyle name="Normal 3 2 2 2 2 2 4 2 2" xfId="7989" xr:uid="{00000000-0005-0000-0000-0000FA5B0000}"/>
    <cellStyle name="Normal 3 2 2 2 2 2 4 2 2 2" xfId="16810" xr:uid="{00000000-0005-0000-0000-0000FB5B0000}"/>
    <cellStyle name="Normal 3 2 2 2 2 2 4 2 3" xfId="12403" xr:uid="{00000000-0005-0000-0000-0000FC5B0000}"/>
    <cellStyle name="Normal 3 2 2 2 2 2 4 3" xfId="5784" xr:uid="{00000000-0005-0000-0000-0000FD5B0000}"/>
    <cellStyle name="Normal 3 2 2 2 2 2 4 3 2" xfId="14605" xr:uid="{00000000-0005-0000-0000-0000FE5B0000}"/>
    <cellStyle name="Normal 3 2 2 2 2 2 4 4" xfId="10198" xr:uid="{00000000-0005-0000-0000-0000FF5B0000}"/>
    <cellStyle name="Normal 3 2 2 2 2 2 5" xfId="2858" xr:uid="{00000000-0005-0000-0000-0000005C0000}"/>
    <cellStyle name="Normal 3 2 2 2 2 2 5 2" xfId="7252" xr:uid="{00000000-0005-0000-0000-0000015C0000}"/>
    <cellStyle name="Normal 3 2 2 2 2 2 5 2 2" xfId="16073" xr:uid="{00000000-0005-0000-0000-0000025C0000}"/>
    <cellStyle name="Normal 3 2 2 2 2 2 5 3" xfId="11666" xr:uid="{00000000-0005-0000-0000-0000035C0000}"/>
    <cellStyle name="Normal 3 2 2 2 2 2 6" xfId="5047" xr:uid="{00000000-0005-0000-0000-0000045C0000}"/>
    <cellStyle name="Normal 3 2 2 2 2 2 6 2" xfId="13868" xr:uid="{00000000-0005-0000-0000-0000055C0000}"/>
    <cellStyle name="Normal 3 2 2 2 2 2 7" xfId="9461" xr:uid="{00000000-0005-0000-0000-0000065C0000}"/>
    <cellStyle name="Normal 3 2 2 2 2 2 8" xfId="28362" xr:uid="{00000000-0005-0000-0000-0000075C0000}"/>
    <cellStyle name="Normal 3 2 2 2 2 2 9" xfId="29284" xr:uid="{00000000-0005-0000-0000-0000085C0000}"/>
    <cellStyle name="Normal 3 2 2 2 2 3" xfId="1103" xr:uid="{00000000-0005-0000-0000-0000095C0000}"/>
    <cellStyle name="Normal 3 2 2 2 2 3 2" xfId="2371" xr:uid="{00000000-0005-0000-0000-00000A5C0000}"/>
    <cellStyle name="Normal 3 2 2 2 2 3 2 2" xfId="4489" xr:uid="{00000000-0005-0000-0000-00000B5C0000}"/>
    <cellStyle name="Normal 3 2 2 2 2 3 2 2 2" xfId="8911" xr:uid="{00000000-0005-0000-0000-00000C5C0000}"/>
    <cellStyle name="Normal 3 2 2 2 2 3 2 2 2 2" xfId="17732" xr:uid="{00000000-0005-0000-0000-00000D5C0000}"/>
    <cellStyle name="Normal 3 2 2 2 2 3 2 2 3" xfId="13325" xr:uid="{00000000-0005-0000-0000-00000E5C0000}"/>
    <cellStyle name="Normal 3 2 2 2 2 3 2 3" xfId="6706" xr:uid="{00000000-0005-0000-0000-00000F5C0000}"/>
    <cellStyle name="Normal 3 2 2 2 2 3 2 3 2" xfId="15527" xr:uid="{00000000-0005-0000-0000-0000105C0000}"/>
    <cellStyle name="Normal 3 2 2 2 2 3 2 4" xfId="11120" xr:uid="{00000000-0005-0000-0000-0000115C0000}"/>
    <cellStyle name="Normal 3 2 2 2 2 3 3" xfId="1823" xr:uid="{00000000-0005-0000-0000-0000125C0000}"/>
    <cellStyle name="Normal 3 2 2 2 2 3 3 2" xfId="3779" xr:uid="{00000000-0005-0000-0000-0000135C0000}"/>
    <cellStyle name="Normal 3 2 2 2 2 3 3 2 2" xfId="8173" xr:uid="{00000000-0005-0000-0000-0000145C0000}"/>
    <cellStyle name="Normal 3 2 2 2 2 3 3 2 2 2" xfId="16994" xr:uid="{00000000-0005-0000-0000-0000155C0000}"/>
    <cellStyle name="Normal 3 2 2 2 2 3 3 2 3" xfId="12587" xr:uid="{00000000-0005-0000-0000-0000165C0000}"/>
    <cellStyle name="Normal 3 2 2 2 2 3 3 3" xfId="5968" xr:uid="{00000000-0005-0000-0000-0000175C0000}"/>
    <cellStyle name="Normal 3 2 2 2 2 3 3 3 2" xfId="14789" xr:uid="{00000000-0005-0000-0000-0000185C0000}"/>
    <cellStyle name="Normal 3 2 2 2 2 3 3 4" xfId="10382" xr:uid="{00000000-0005-0000-0000-0000195C0000}"/>
    <cellStyle name="Normal 3 2 2 2 2 3 4" xfId="3042" xr:uid="{00000000-0005-0000-0000-00001A5C0000}"/>
    <cellStyle name="Normal 3 2 2 2 2 3 4 2" xfId="7436" xr:uid="{00000000-0005-0000-0000-00001B5C0000}"/>
    <cellStyle name="Normal 3 2 2 2 2 3 4 2 2" xfId="16257" xr:uid="{00000000-0005-0000-0000-00001C5C0000}"/>
    <cellStyle name="Normal 3 2 2 2 2 3 4 3" xfId="11850" xr:uid="{00000000-0005-0000-0000-00001D5C0000}"/>
    <cellStyle name="Normal 3 2 2 2 2 3 5" xfId="5231" xr:uid="{00000000-0005-0000-0000-00001E5C0000}"/>
    <cellStyle name="Normal 3 2 2 2 2 3 5 2" xfId="14052" xr:uid="{00000000-0005-0000-0000-00001F5C0000}"/>
    <cellStyle name="Normal 3 2 2 2 2 3 6" xfId="9645" xr:uid="{00000000-0005-0000-0000-0000205C0000}"/>
    <cellStyle name="Normal 3 2 2 2 2 4" xfId="2110" xr:uid="{00000000-0005-0000-0000-0000215C0000}"/>
    <cellStyle name="Normal 3 2 2 2 2 4 2" xfId="4134" xr:uid="{00000000-0005-0000-0000-0000225C0000}"/>
    <cellStyle name="Normal 3 2 2 2 2 4 2 2" xfId="8542" xr:uid="{00000000-0005-0000-0000-0000235C0000}"/>
    <cellStyle name="Normal 3 2 2 2 2 4 2 2 2" xfId="17363" xr:uid="{00000000-0005-0000-0000-0000245C0000}"/>
    <cellStyle name="Normal 3 2 2 2 2 4 2 3" xfId="12956" xr:uid="{00000000-0005-0000-0000-0000255C0000}"/>
    <cellStyle name="Normal 3 2 2 2 2 4 3" xfId="6337" xr:uid="{00000000-0005-0000-0000-0000265C0000}"/>
    <cellStyle name="Normal 3 2 2 2 2 4 3 2" xfId="15158" xr:uid="{00000000-0005-0000-0000-0000275C0000}"/>
    <cellStyle name="Normal 3 2 2 2 2 4 4" xfId="10751" xr:uid="{00000000-0005-0000-0000-0000285C0000}"/>
    <cellStyle name="Normal 3 2 2 2 2 5" xfId="1468" xr:uid="{00000000-0005-0000-0000-0000295C0000}"/>
    <cellStyle name="Normal 3 2 2 2 2 5 2" xfId="3410" xr:uid="{00000000-0005-0000-0000-00002A5C0000}"/>
    <cellStyle name="Normal 3 2 2 2 2 5 2 2" xfId="7804" xr:uid="{00000000-0005-0000-0000-00002B5C0000}"/>
    <cellStyle name="Normal 3 2 2 2 2 5 2 2 2" xfId="16625" xr:uid="{00000000-0005-0000-0000-00002C5C0000}"/>
    <cellStyle name="Normal 3 2 2 2 2 5 2 3" xfId="12218" xr:uid="{00000000-0005-0000-0000-00002D5C0000}"/>
    <cellStyle name="Normal 3 2 2 2 2 5 3" xfId="5599" xr:uid="{00000000-0005-0000-0000-00002E5C0000}"/>
    <cellStyle name="Normal 3 2 2 2 2 5 3 2" xfId="14420" xr:uid="{00000000-0005-0000-0000-00002F5C0000}"/>
    <cellStyle name="Normal 3 2 2 2 2 5 4" xfId="10013" xr:uid="{00000000-0005-0000-0000-0000305C0000}"/>
    <cellStyle name="Normal 3 2 2 2 2 6" xfId="2674" xr:uid="{00000000-0005-0000-0000-0000315C0000}"/>
    <cellStyle name="Normal 3 2 2 2 2 6 2" xfId="7067" xr:uid="{00000000-0005-0000-0000-0000325C0000}"/>
    <cellStyle name="Normal 3 2 2 2 2 6 2 2" xfId="15888" xr:uid="{00000000-0005-0000-0000-0000335C0000}"/>
    <cellStyle name="Normal 3 2 2 2 2 6 3" xfId="11481" xr:uid="{00000000-0005-0000-0000-0000345C0000}"/>
    <cellStyle name="Normal 3 2 2 2 2 7" xfId="4862" xr:uid="{00000000-0005-0000-0000-0000355C0000}"/>
    <cellStyle name="Normal 3 2 2 2 2 7 2" xfId="13683" xr:uid="{00000000-0005-0000-0000-0000365C0000}"/>
    <cellStyle name="Normal 3 2 2 2 2 8" xfId="9276" xr:uid="{00000000-0005-0000-0000-0000375C0000}"/>
    <cellStyle name="Normal 3 2 2 2 2 9" xfId="28361" xr:uid="{00000000-0005-0000-0000-0000385C0000}"/>
    <cellStyle name="Normal 3 2 2 2 3" xfId="730" xr:uid="{00000000-0005-0000-0000-0000395C0000}"/>
    <cellStyle name="Normal 3 2 2 2 3 2" xfId="1173" xr:uid="{00000000-0005-0000-0000-00003A5C0000}"/>
    <cellStyle name="Normal 3 2 2 2 3 2 2" xfId="2437" xr:uid="{00000000-0005-0000-0000-00003B5C0000}"/>
    <cellStyle name="Normal 3 2 2 2 3 2 2 2" xfId="4581" xr:uid="{00000000-0005-0000-0000-00003C5C0000}"/>
    <cellStyle name="Normal 3 2 2 2 3 2 2 2 2" xfId="9004" xr:uid="{00000000-0005-0000-0000-00003D5C0000}"/>
    <cellStyle name="Normal 3 2 2 2 3 2 2 2 2 2" xfId="17825" xr:uid="{00000000-0005-0000-0000-00003E5C0000}"/>
    <cellStyle name="Normal 3 2 2 2 3 2 2 2 3" xfId="13418" xr:uid="{00000000-0005-0000-0000-00003F5C0000}"/>
    <cellStyle name="Normal 3 2 2 2 3 2 2 3" xfId="6799" xr:uid="{00000000-0005-0000-0000-0000405C0000}"/>
    <cellStyle name="Normal 3 2 2 2 3 2 2 3 2" xfId="15620" xr:uid="{00000000-0005-0000-0000-0000415C0000}"/>
    <cellStyle name="Normal 3 2 2 2 3 2 2 4" xfId="11213" xr:uid="{00000000-0005-0000-0000-0000425C0000}"/>
    <cellStyle name="Normal 3 2 2 2 3 2 3" xfId="1915" xr:uid="{00000000-0005-0000-0000-0000435C0000}"/>
    <cellStyle name="Normal 3 2 2 2 3 2 3 2" xfId="3872" xr:uid="{00000000-0005-0000-0000-0000445C0000}"/>
    <cellStyle name="Normal 3 2 2 2 3 2 3 2 2" xfId="8266" xr:uid="{00000000-0005-0000-0000-0000455C0000}"/>
    <cellStyle name="Normal 3 2 2 2 3 2 3 2 2 2" xfId="17087" xr:uid="{00000000-0005-0000-0000-0000465C0000}"/>
    <cellStyle name="Normal 3 2 2 2 3 2 3 2 3" xfId="12680" xr:uid="{00000000-0005-0000-0000-0000475C0000}"/>
    <cellStyle name="Normal 3 2 2 2 3 2 3 3" xfId="6061" xr:uid="{00000000-0005-0000-0000-0000485C0000}"/>
    <cellStyle name="Normal 3 2 2 2 3 2 3 3 2" xfId="14882" xr:uid="{00000000-0005-0000-0000-0000495C0000}"/>
    <cellStyle name="Normal 3 2 2 2 3 2 3 4" xfId="10475" xr:uid="{00000000-0005-0000-0000-00004A5C0000}"/>
    <cellStyle name="Normal 3 2 2 2 3 2 4" xfId="3135" xr:uid="{00000000-0005-0000-0000-00004B5C0000}"/>
    <cellStyle name="Normal 3 2 2 2 3 2 4 2" xfId="7529" xr:uid="{00000000-0005-0000-0000-00004C5C0000}"/>
    <cellStyle name="Normal 3 2 2 2 3 2 4 2 2" xfId="16350" xr:uid="{00000000-0005-0000-0000-00004D5C0000}"/>
    <cellStyle name="Normal 3 2 2 2 3 2 4 3" xfId="11943" xr:uid="{00000000-0005-0000-0000-00004E5C0000}"/>
    <cellStyle name="Normal 3 2 2 2 3 2 5" xfId="5324" xr:uid="{00000000-0005-0000-0000-00004F5C0000}"/>
    <cellStyle name="Normal 3 2 2 2 3 2 5 2" xfId="14145" xr:uid="{00000000-0005-0000-0000-0000505C0000}"/>
    <cellStyle name="Normal 3 2 2 2 3 2 6" xfId="9738" xr:uid="{00000000-0005-0000-0000-0000515C0000}"/>
    <cellStyle name="Normal 3 2 2 2 3 3" xfId="2176" xr:uid="{00000000-0005-0000-0000-0000525C0000}"/>
    <cellStyle name="Normal 3 2 2 2 3 3 2" xfId="4226" xr:uid="{00000000-0005-0000-0000-0000535C0000}"/>
    <cellStyle name="Normal 3 2 2 2 3 3 2 2" xfId="8635" xr:uid="{00000000-0005-0000-0000-0000545C0000}"/>
    <cellStyle name="Normal 3 2 2 2 3 3 2 2 2" xfId="17456" xr:uid="{00000000-0005-0000-0000-0000555C0000}"/>
    <cellStyle name="Normal 3 2 2 2 3 3 2 3" xfId="13049" xr:uid="{00000000-0005-0000-0000-0000565C0000}"/>
    <cellStyle name="Normal 3 2 2 2 3 3 3" xfId="6430" xr:uid="{00000000-0005-0000-0000-0000575C0000}"/>
    <cellStyle name="Normal 3 2 2 2 3 3 3 2" xfId="15251" xr:uid="{00000000-0005-0000-0000-0000585C0000}"/>
    <cellStyle name="Normal 3 2 2 2 3 3 4" xfId="10844" xr:uid="{00000000-0005-0000-0000-0000595C0000}"/>
    <cellStyle name="Normal 3 2 2 2 3 4" xfId="1560" xr:uid="{00000000-0005-0000-0000-00005A5C0000}"/>
    <cellStyle name="Normal 3 2 2 2 3 4 2" xfId="3503" xr:uid="{00000000-0005-0000-0000-00005B5C0000}"/>
    <cellStyle name="Normal 3 2 2 2 3 4 2 2" xfId="7897" xr:uid="{00000000-0005-0000-0000-00005C5C0000}"/>
    <cellStyle name="Normal 3 2 2 2 3 4 2 2 2" xfId="16718" xr:uid="{00000000-0005-0000-0000-00005D5C0000}"/>
    <cellStyle name="Normal 3 2 2 2 3 4 2 3" xfId="12311" xr:uid="{00000000-0005-0000-0000-00005E5C0000}"/>
    <cellStyle name="Normal 3 2 2 2 3 4 3" xfId="5692" xr:uid="{00000000-0005-0000-0000-00005F5C0000}"/>
    <cellStyle name="Normal 3 2 2 2 3 4 3 2" xfId="14513" xr:uid="{00000000-0005-0000-0000-0000605C0000}"/>
    <cellStyle name="Normal 3 2 2 2 3 4 4" xfId="10106" xr:uid="{00000000-0005-0000-0000-0000615C0000}"/>
    <cellStyle name="Normal 3 2 2 2 3 5" xfId="2766" xr:uid="{00000000-0005-0000-0000-0000625C0000}"/>
    <cellStyle name="Normal 3 2 2 2 3 5 2" xfId="7160" xr:uid="{00000000-0005-0000-0000-0000635C0000}"/>
    <cellStyle name="Normal 3 2 2 2 3 5 2 2" xfId="15981" xr:uid="{00000000-0005-0000-0000-0000645C0000}"/>
    <cellStyle name="Normal 3 2 2 2 3 5 3" xfId="11574" xr:uid="{00000000-0005-0000-0000-0000655C0000}"/>
    <cellStyle name="Normal 3 2 2 2 3 6" xfId="4955" xr:uid="{00000000-0005-0000-0000-0000665C0000}"/>
    <cellStyle name="Normal 3 2 2 2 3 6 2" xfId="13776" xr:uid="{00000000-0005-0000-0000-0000675C0000}"/>
    <cellStyle name="Normal 3 2 2 2 3 7" xfId="9369" xr:uid="{00000000-0005-0000-0000-0000685C0000}"/>
    <cellStyle name="Normal 3 2 2 2 3 8" xfId="28363" xr:uid="{00000000-0005-0000-0000-0000695C0000}"/>
    <cellStyle name="Normal 3 2 2 2 3 9" xfId="29285" xr:uid="{00000000-0005-0000-0000-00006A5C0000}"/>
    <cellStyle name="Normal 3 2 2 2 4" xfId="1080" xr:uid="{00000000-0005-0000-0000-00006B5C0000}"/>
    <cellStyle name="Normal 3 2 2 2 4 2" xfId="2306" xr:uid="{00000000-0005-0000-0000-00006C5C0000}"/>
    <cellStyle name="Normal 3 2 2 2 4 2 2" xfId="4397" xr:uid="{00000000-0005-0000-0000-00006D5C0000}"/>
    <cellStyle name="Normal 3 2 2 2 4 2 2 2" xfId="8819" xr:uid="{00000000-0005-0000-0000-00006E5C0000}"/>
    <cellStyle name="Normal 3 2 2 2 4 2 2 2 2" xfId="17640" xr:uid="{00000000-0005-0000-0000-00006F5C0000}"/>
    <cellStyle name="Normal 3 2 2 2 4 2 2 3" xfId="13233" xr:uid="{00000000-0005-0000-0000-0000705C0000}"/>
    <cellStyle name="Normal 3 2 2 2 4 2 3" xfId="6614" xr:uid="{00000000-0005-0000-0000-0000715C0000}"/>
    <cellStyle name="Normal 3 2 2 2 4 2 3 2" xfId="15435" xr:uid="{00000000-0005-0000-0000-0000725C0000}"/>
    <cellStyle name="Normal 3 2 2 2 4 2 4" xfId="11028" xr:uid="{00000000-0005-0000-0000-0000735C0000}"/>
    <cellStyle name="Normal 3 2 2 2 4 3" xfId="1731" xr:uid="{00000000-0005-0000-0000-0000745C0000}"/>
    <cellStyle name="Normal 3 2 2 2 4 3 2" xfId="3687" xr:uid="{00000000-0005-0000-0000-0000755C0000}"/>
    <cellStyle name="Normal 3 2 2 2 4 3 2 2" xfId="8081" xr:uid="{00000000-0005-0000-0000-0000765C0000}"/>
    <cellStyle name="Normal 3 2 2 2 4 3 2 2 2" xfId="16902" xr:uid="{00000000-0005-0000-0000-0000775C0000}"/>
    <cellStyle name="Normal 3 2 2 2 4 3 2 3" xfId="12495" xr:uid="{00000000-0005-0000-0000-0000785C0000}"/>
    <cellStyle name="Normal 3 2 2 2 4 3 3" xfId="5876" xr:uid="{00000000-0005-0000-0000-0000795C0000}"/>
    <cellStyle name="Normal 3 2 2 2 4 3 3 2" xfId="14697" xr:uid="{00000000-0005-0000-0000-00007A5C0000}"/>
    <cellStyle name="Normal 3 2 2 2 4 3 4" xfId="10290" xr:uid="{00000000-0005-0000-0000-00007B5C0000}"/>
    <cellStyle name="Normal 3 2 2 2 4 4" xfId="2950" xr:uid="{00000000-0005-0000-0000-00007C5C0000}"/>
    <cellStyle name="Normal 3 2 2 2 4 4 2" xfId="7344" xr:uid="{00000000-0005-0000-0000-00007D5C0000}"/>
    <cellStyle name="Normal 3 2 2 2 4 4 2 2" xfId="16165" xr:uid="{00000000-0005-0000-0000-00007E5C0000}"/>
    <cellStyle name="Normal 3 2 2 2 4 4 3" xfId="11758" xr:uid="{00000000-0005-0000-0000-00007F5C0000}"/>
    <cellStyle name="Normal 3 2 2 2 4 5" xfId="5139" xr:uid="{00000000-0005-0000-0000-0000805C0000}"/>
    <cellStyle name="Normal 3 2 2 2 4 5 2" xfId="13960" xr:uid="{00000000-0005-0000-0000-0000815C0000}"/>
    <cellStyle name="Normal 3 2 2 2 4 6" xfId="9553" xr:uid="{00000000-0005-0000-0000-0000825C0000}"/>
    <cellStyle name="Normal 3 2 2 2 5" xfId="2057" xr:uid="{00000000-0005-0000-0000-0000835C0000}"/>
    <cellStyle name="Normal 3 2 2 2 5 2" xfId="4042" xr:uid="{00000000-0005-0000-0000-0000845C0000}"/>
    <cellStyle name="Normal 3 2 2 2 5 2 2" xfId="8450" xr:uid="{00000000-0005-0000-0000-0000855C0000}"/>
    <cellStyle name="Normal 3 2 2 2 5 2 2 2" xfId="17271" xr:uid="{00000000-0005-0000-0000-0000865C0000}"/>
    <cellStyle name="Normal 3 2 2 2 5 2 3" xfId="12864" xr:uid="{00000000-0005-0000-0000-0000875C0000}"/>
    <cellStyle name="Normal 3 2 2 2 5 3" xfId="6245" xr:uid="{00000000-0005-0000-0000-0000885C0000}"/>
    <cellStyle name="Normal 3 2 2 2 5 3 2" xfId="15066" xr:uid="{00000000-0005-0000-0000-0000895C0000}"/>
    <cellStyle name="Normal 3 2 2 2 5 4" xfId="10659" xr:uid="{00000000-0005-0000-0000-00008A5C0000}"/>
    <cellStyle name="Normal 3 2 2 2 6" xfId="1403" xr:uid="{00000000-0005-0000-0000-00008B5C0000}"/>
    <cellStyle name="Normal 3 2 2 2 6 2" xfId="3318" xr:uid="{00000000-0005-0000-0000-00008C5C0000}"/>
    <cellStyle name="Normal 3 2 2 2 6 2 2" xfId="7712" xr:uid="{00000000-0005-0000-0000-00008D5C0000}"/>
    <cellStyle name="Normal 3 2 2 2 6 2 2 2" xfId="16533" xr:uid="{00000000-0005-0000-0000-00008E5C0000}"/>
    <cellStyle name="Normal 3 2 2 2 6 2 3" xfId="12126" xr:uid="{00000000-0005-0000-0000-00008F5C0000}"/>
    <cellStyle name="Normal 3 2 2 2 6 3" xfId="5507" xr:uid="{00000000-0005-0000-0000-0000905C0000}"/>
    <cellStyle name="Normal 3 2 2 2 6 3 2" xfId="14328" xr:uid="{00000000-0005-0000-0000-0000915C0000}"/>
    <cellStyle name="Normal 3 2 2 2 6 4" xfId="9921" xr:uid="{00000000-0005-0000-0000-0000925C0000}"/>
    <cellStyle name="Normal 3 2 2 2 7" xfId="2582" xr:uid="{00000000-0005-0000-0000-0000935C0000}"/>
    <cellStyle name="Normal 3 2 2 2 7 2" xfId="6975" xr:uid="{00000000-0005-0000-0000-0000945C0000}"/>
    <cellStyle name="Normal 3 2 2 2 7 2 2" xfId="15796" xr:uid="{00000000-0005-0000-0000-0000955C0000}"/>
    <cellStyle name="Normal 3 2 2 2 7 3" xfId="11389" xr:uid="{00000000-0005-0000-0000-0000965C0000}"/>
    <cellStyle name="Normal 3 2 2 2 8" xfId="4770" xr:uid="{00000000-0005-0000-0000-0000975C0000}"/>
    <cellStyle name="Normal 3 2 2 2 8 2" xfId="13591" xr:uid="{00000000-0005-0000-0000-0000985C0000}"/>
    <cellStyle name="Normal 3 2 2 2 9" xfId="9184" xr:uid="{00000000-0005-0000-0000-0000995C0000}"/>
    <cellStyle name="Normal 3 2 2 3" xfId="316" xr:uid="{00000000-0005-0000-0000-00009A5C0000}"/>
    <cellStyle name="Normal 3 2 2 3 10" xfId="29286" xr:uid="{00000000-0005-0000-0000-00009B5C0000}"/>
    <cellStyle name="Normal 3 2 2 3 2" xfId="809" xr:uid="{00000000-0005-0000-0000-00009C5C0000}"/>
    <cellStyle name="Normal 3 2 2 3 2 2" xfId="1089" xr:uid="{00000000-0005-0000-0000-00009D5C0000}"/>
    <cellStyle name="Normal 3 2 2 3 2 2 2" xfId="2469" xr:uid="{00000000-0005-0000-0000-00009E5C0000}"/>
    <cellStyle name="Normal 3 2 2 3 2 2 2 2" xfId="4627" xr:uid="{00000000-0005-0000-0000-00009F5C0000}"/>
    <cellStyle name="Normal 3 2 2 3 2 2 2 2 2" xfId="9050" xr:uid="{00000000-0005-0000-0000-0000A05C0000}"/>
    <cellStyle name="Normal 3 2 2 3 2 2 2 2 2 2" xfId="17871" xr:uid="{00000000-0005-0000-0000-0000A15C0000}"/>
    <cellStyle name="Normal 3 2 2 3 2 2 2 2 3" xfId="13464" xr:uid="{00000000-0005-0000-0000-0000A25C0000}"/>
    <cellStyle name="Normal 3 2 2 3 2 2 2 3" xfId="6845" xr:uid="{00000000-0005-0000-0000-0000A35C0000}"/>
    <cellStyle name="Normal 3 2 2 3 2 2 2 3 2" xfId="15666" xr:uid="{00000000-0005-0000-0000-0000A45C0000}"/>
    <cellStyle name="Normal 3 2 2 3 2 2 2 4" xfId="11259" xr:uid="{00000000-0005-0000-0000-0000A55C0000}"/>
    <cellStyle name="Normal 3 2 2 3 2 2 3" xfId="1961" xr:uid="{00000000-0005-0000-0000-0000A65C0000}"/>
    <cellStyle name="Normal 3 2 2 3 2 2 3 2" xfId="3918" xr:uid="{00000000-0005-0000-0000-0000A75C0000}"/>
    <cellStyle name="Normal 3 2 2 3 2 2 3 2 2" xfId="8312" xr:uid="{00000000-0005-0000-0000-0000A85C0000}"/>
    <cellStyle name="Normal 3 2 2 3 2 2 3 2 2 2" xfId="17133" xr:uid="{00000000-0005-0000-0000-0000A95C0000}"/>
    <cellStyle name="Normal 3 2 2 3 2 2 3 2 3" xfId="12726" xr:uid="{00000000-0005-0000-0000-0000AA5C0000}"/>
    <cellStyle name="Normal 3 2 2 3 2 2 3 3" xfId="6107" xr:uid="{00000000-0005-0000-0000-0000AB5C0000}"/>
    <cellStyle name="Normal 3 2 2 3 2 2 3 3 2" xfId="14928" xr:uid="{00000000-0005-0000-0000-0000AC5C0000}"/>
    <cellStyle name="Normal 3 2 2 3 2 2 3 4" xfId="10521" xr:uid="{00000000-0005-0000-0000-0000AD5C0000}"/>
    <cellStyle name="Normal 3 2 2 3 2 2 4" xfId="3181" xr:uid="{00000000-0005-0000-0000-0000AE5C0000}"/>
    <cellStyle name="Normal 3 2 2 3 2 2 4 2" xfId="7575" xr:uid="{00000000-0005-0000-0000-0000AF5C0000}"/>
    <cellStyle name="Normal 3 2 2 3 2 2 4 2 2" xfId="16396" xr:uid="{00000000-0005-0000-0000-0000B05C0000}"/>
    <cellStyle name="Normal 3 2 2 3 2 2 4 3" xfId="11989" xr:uid="{00000000-0005-0000-0000-0000B15C0000}"/>
    <cellStyle name="Normal 3 2 2 3 2 2 5" xfId="5370" xr:uid="{00000000-0005-0000-0000-0000B25C0000}"/>
    <cellStyle name="Normal 3 2 2 3 2 2 5 2" xfId="14191" xr:uid="{00000000-0005-0000-0000-0000B35C0000}"/>
    <cellStyle name="Normal 3 2 2 3 2 2 6" xfId="9784" xr:uid="{00000000-0005-0000-0000-0000B45C0000}"/>
    <cellStyle name="Normal 3 2 2 3 2 3" xfId="2208" xr:uid="{00000000-0005-0000-0000-0000B55C0000}"/>
    <cellStyle name="Normal 3 2 2 3 2 3 2" xfId="4272" xr:uid="{00000000-0005-0000-0000-0000B65C0000}"/>
    <cellStyle name="Normal 3 2 2 3 2 3 2 2" xfId="8681" xr:uid="{00000000-0005-0000-0000-0000B75C0000}"/>
    <cellStyle name="Normal 3 2 2 3 2 3 2 2 2" xfId="17502" xr:uid="{00000000-0005-0000-0000-0000B85C0000}"/>
    <cellStyle name="Normal 3 2 2 3 2 3 2 3" xfId="13095" xr:uid="{00000000-0005-0000-0000-0000B95C0000}"/>
    <cellStyle name="Normal 3 2 2 3 2 3 3" xfId="6476" xr:uid="{00000000-0005-0000-0000-0000BA5C0000}"/>
    <cellStyle name="Normal 3 2 2 3 2 3 3 2" xfId="15297" xr:uid="{00000000-0005-0000-0000-0000BB5C0000}"/>
    <cellStyle name="Normal 3 2 2 3 2 3 4" xfId="10890" xr:uid="{00000000-0005-0000-0000-0000BC5C0000}"/>
    <cellStyle name="Normal 3 2 2 3 2 4" xfId="1606" xr:uid="{00000000-0005-0000-0000-0000BD5C0000}"/>
    <cellStyle name="Normal 3 2 2 3 2 4 2" xfId="3549" xr:uid="{00000000-0005-0000-0000-0000BE5C0000}"/>
    <cellStyle name="Normal 3 2 2 3 2 4 2 2" xfId="7943" xr:uid="{00000000-0005-0000-0000-0000BF5C0000}"/>
    <cellStyle name="Normal 3 2 2 3 2 4 2 2 2" xfId="16764" xr:uid="{00000000-0005-0000-0000-0000C05C0000}"/>
    <cellStyle name="Normal 3 2 2 3 2 4 2 3" xfId="12357" xr:uid="{00000000-0005-0000-0000-0000C15C0000}"/>
    <cellStyle name="Normal 3 2 2 3 2 4 3" xfId="5738" xr:uid="{00000000-0005-0000-0000-0000C25C0000}"/>
    <cellStyle name="Normal 3 2 2 3 2 4 3 2" xfId="14559" xr:uid="{00000000-0005-0000-0000-0000C35C0000}"/>
    <cellStyle name="Normal 3 2 2 3 2 4 4" xfId="10152" xr:uid="{00000000-0005-0000-0000-0000C45C0000}"/>
    <cellStyle name="Normal 3 2 2 3 2 5" xfId="2812" xr:uid="{00000000-0005-0000-0000-0000C55C0000}"/>
    <cellStyle name="Normal 3 2 2 3 2 5 2" xfId="7206" xr:uid="{00000000-0005-0000-0000-0000C65C0000}"/>
    <cellStyle name="Normal 3 2 2 3 2 5 2 2" xfId="16027" xr:uid="{00000000-0005-0000-0000-0000C75C0000}"/>
    <cellStyle name="Normal 3 2 2 3 2 5 3" xfId="11620" xr:uid="{00000000-0005-0000-0000-0000C85C0000}"/>
    <cellStyle name="Normal 3 2 2 3 2 6" xfId="5001" xr:uid="{00000000-0005-0000-0000-0000C95C0000}"/>
    <cellStyle name="Normal 3 2 2 3 2 6 2" xfId="13822" xr:uid="{00000000-0005-0000-0000-0000CA5C0000}"/>
    <cellStyle name="Normal 3 2 2 3 2 7" xfId="9415" xr:uid="{00000000-0005-0000-0000-0000CB5C0000}"/>
    <cellStyle name="Normal 3 2 2 3 2 8" xfId="28365" xr:uid="{00000000-0005-0000-0000-0000CC5C0000}"/>
    <cellStyle name="Normal 3 2 2 3 2 9" xfId="29287" xr:uid="{00000000-0005-0000-0000-0000CD5C0000}"/>
    <cellStyle name="Normal 3 2 2 3 3" xfId="1143" xr:uid="{00000000-0005-0000-0000-0000CE5C0000}"/>
    <cellStyle name="Normal 3 2 2 3 3 2" xfId="2338" xr:uid="{00000000-0005-0000-0000-0000CF5C0000}"/>
    <cellStyle name="Normal 3 2 2 3 3 2 2" xfId="4443" xr:uid="{00000000-0005-0000-0000-0000D05C0000}"/>
    <cellStyle name="Normal 3 2 2 3 3 2 2 2" xfId="8865" xr:uid="{00000000-0005-0000-0000-0000D15C0000}"/>
    <cellStyle name="Normal 3 2 2 3 3 2 2 2 2" xfId="17686" xr:uid="{00000000-0005-0000-0000-0000D25C0000}"/>
    <cellStyle name="Normal 3 2 2 3 3 2 2 3" xfId="13279" xr:uid="{00000000-0005-0000-0000-0000D35C0000}"/>
    <cellStyle name="Normal 3 2 2 3 3 2 3" xfId="6660" xr:uid="{00000000-0005-0000-0000-0000D45C0000}"/>
    <cellStyle name="Normal 3 2 2 3 3 2 3 2" xfId="15481" xr:uid="{00000000-0005-0000-0000-0000D55C0000}"/>
    <cellStyle name="Normal 3 2 2 3 3 2 4" xfId="11074" xr:uid="{00000000-0005-0000-0000-0000D65C0000}"/>
    <cellStyle name="Normal 3 2 2 3 3 3" xfId="1777" xr:uid="{00000000-0005-0000-0000-0000D75C0000}"/>
    <cellStyle name="Normal 3 2 2 3 3 3 2" xfId="3733" xr:uid="{00000000-0005-0000-0000-0000D85C0000}"/>
    <cellStyle name="Normal 3 2 2 3 3 3 2 2" xfId="8127" xr:uid="{00000000-0005-0000-0000-0000D95C0000}"/>
    <cellStyle name="Normal 3 2 2 3 3 3 2 2 2" xfId="16948" xr:uid="{00000000-0005-0000-0000-0000DA5C0000}"/>
    <cellStyle name="Normal 3 2 2 3 3 3 2 3" xfId="12541" xr:uid="{00000000-0005-0000-0000-0000DB5C0000}"/>
    <cellStyle name="Normal 3 2 2 3 3 3 3" xfId="5922" xr:uid="{00000000-0005-0000-0000-0000DC5C0000}"/>
    <cellStyle name="Normal 3 2 2 3 3 3 3 2" xfId="14743" xr:uid="{00000000-0005-0000-0000-0000DD5C0000}"/>
    <cellStyle name="Normal 3 2 2 3 3 3 4" xfId="10336" xr:uid="{00000000-0005-0000-0000-0000DE5C0000}"/>
    <cellStyle name="Normal 3 2 2 3 3 4" xfId="2996" xr:uid="{00000000-0005-0000-0000-0000DF5C0000}"/>
    <cellStyle name="Normal 3 2 2 3 3 4 2" xfId="7390" xr:uid="{00000000-0005-0000-0000-0000E05C0000}"/>
    <cellStyle name="Normal 3 2 2 3 3 4 2 2" xfId="16211" xr:uid="{00000000-0005-0000-0000-0000E15C0000}"/>
    <cellStyle name="Normal 3 2 2 3 3 4 3" xfId="11804" xr:uid="{00000000-0005-0000-0000-0000E25C0000}"/>
    <cellStyle name="Normal 3 2 2 3 3 5" xfId="5185" xr:uid="{00000000-0005-0000-0000-0000E35C0000}"/>
    <cellStyle name="Normal 3 2 2 3 3 5 2" xfId="14006" xr:uid="{00000000-0005-0000-0000-0000E45C0000}"/>
    <cellStyle name="Normal 3 2 2 3 3 6" xfId="9599" xr:uid="{00000000-0005-0000-0000-0000E55C0000}"/>
    <cellStyle name="Normal 3 2 2 3 4" xfId="2077" xr:uid="{00000000-0005-0000-0000-0000E65C0000}"/>
    <cellStyle name="Normal 3 2 2 3 4 2" xfId="4088" xr:uid="{00000000-0005-0000-0000-0000E75C0000}"/>
    <cellStyle name="Normal 3 2 2 3 4 2 2" xfId="8496" xr:uid="{00000000-0005-0000-0000-0000E85C0000}"/>
    <cellStyle name="Normal 3 2 2 3 4 2 2 2" xfId="17317" xr:uid="{00000000-0005-0000-0000-0000E95C0000}"/>
    <cellStyle name="Normal 3 2 2 3 4 2 3" xfId="12910" xr:uid="{00000000-0005-0000-0000-0000EA5C0000}"/>
    <cellStyle name="Normal 3 2 2 3 4 3" xfId="6291" xr:uid="{00000000-0005-0000-0000-0000EB5C0000}"/>
    <cellStyle name="Normal 3 2 2 3 4 3 2" xfId="15112" xr:uid="{00000000-0005-0000-0000-0000EC5C0000}"/>
    <cellStyle name="Normal 3 2 2 3 4 4" xfId="10705" xr:uid="{00000000-0005-0000-0000-0000ED5C0000}"/>
    <cellStyle name="Normal 3 2 2 3 5" xfId="1435" xr:uid="{00000000-0005-0000-0000-0000EE5C0000}"/>
    <cellStyle name="Normal 3 2 2 3 5 2" xfId="3364" xr:uid="{00000000-0005-0000-0000-0000EF5C0000}"/>
    <cellStyle name="Normal 3 2 2 3 5 2 2" xfId="7758" xr:uid="{00000000-0005-0000-0000-0000F05C0000}"/>
    <cellStyle name="Normal 3 2 2 3 5 2 2 2" xfId="16579" xr:uid="{00000000-0005-0000-0000-0000F15C0000}"/>
    <cellStyle name="Normal 3 2 2 3 5 2 3" xfId="12172" xr:uid="{00000000-0005-0000-0000-0000F25C0000}"/>
    <cellStyle name="Normal 3 2 2 3 5 3" xfId="5553" xr:uid="{00000000-0005-0000-0000-0000F35C0000}"/>
    <cellStyle name="Normal 3 2 2 3 5 3 2" xfId="14374" xr:uid="{00000000-0005-0000-0000-0000F45C0000}"/>
    <cellStyle name="Normal 3 2 2 3 5 4" xfId="9967" xr:uid="{00000000-0005-0000-0000-0000F55C0000}"/>
    <cellStyle name="Normal 3 2 2 3 6" xfId="2628" xr:uid="{00000000-0005-0000-0000-0000F65C0000}"/>
    <cellStyle name="Normal 3 2 2 3 6 2" xfId="7021" xr:uid="{00000000-0005-0000-0000-0000F75C0000}"/>
    <cellStyle name="Normal 3 2 2 3 6 2 2" xfId="15842" xr:uid="{00000000-0005-0000-0000-0000F85C0000}"/>
    <cellStyle name="Normal 3 2 2 3 6 3" xfId="11435" xr:uid="{00000000-0005-0000-0000-0000F95C0000}"/>
    <cellStyle name="Normal 3 2 2 3 7" xfId="4816" xr:uid="{00000000-0005-0000-0000-0000FA5C0000}"/>
    <cellStyle name="Normal 3 2 2 3 7 2" xfId="13637" xr:uid="{00000000-0005-0000-0000-0000FB5C0000}"/>
    <cellStyle name="Normal 3 2 2 3 8" xfId="9230" xr:uid="{00000000-0005-0000-0000-0000FC5C0000}"/>
    <cellStyle name="Normal 3 2 2 3 9" xfId="28364" xr:uid="{00000000-0005-0000-0000-0000FD5C0000}"/>
    <cellStyle name="Normal 3 2 2 4" xfId="729" xr:uid="{00000000-0005-0000-0000-0000FE5C0000}"/>
    <cellStyle name="Normal 3 2 2 4 2" xfId="1256" xr:uid="{00000000-0005-0000-0000-0000FF5C0000}"/>
    <cellStyle name="Normal 3 2 2 4 2 2" xfId="2403" xr:uid="{00000000-0005-0000-0000-0000005D0000}"/>
    <cellStyle name="Normal 3 2 2 4 2 2 2" xfId="4535" xr:uid="{00000000-0005-0000-0000-0000015D0000}"/>
    <cellStyle name="Normal 3 2 2 4 2 2 2 2" xfId="8957" xr:uid="{00000000-0005-0000-0000-0000025D0000}"/>
    <cellStyle name="Normal 3 2 2 4 2 2 2 2 2" xfId="17778" xr:uid="{00000000-0005-0000-0000-0000035D0000}"/>
    <cellStyle name="Normal 3 2 2 4 2 2 2 3" xfId="13371" xr:uid="{00000000-0005-0000-0000-0000045D0000}"/>
    <cellStyle name="Normal 3 2 2 4 2 2 3" xfId="6752" xr:uid="{00000000-0005-0000-0000-0000055D0000}"/>
    <cellStyle name="Normal 3 2 2 4 2 2 3 2" xfId="15573" xr:uid="{00000000-0005-0000-0000-0000065D0000}"/>
    <cellStyle name="Normal 3 2 2 4 2 2 4" xfId="11166" xr:uid="{00000000-0005-0000-0000-0000075D0000}"/>
    <cellStyle name="Normal 3 2 2 4 2 3" xfId="1869" xr:uid="{00000000-0005-0000-0000-0000085D0000}"/>
    <cellStyle name="Normal 3 2 2 4 2 3 2" xfId="3825" xr:uid="{00000000-0005-0000-0000-0000095D0000}"/>
    <cellStyle name="Normal 3 2 2 4 2 3 2 2" xfId="8219" xr:uid="{00000000-0005-0000-0000-00000A5D0000}"/>
    <cellStyle name="Normal 3 2 2 4 2 3 2 2 2" xfId="17040" xr:uid="{00000000-0005-0000-0000-00000B5D0000}"/>
    <cellStyle name="Normal 3 2 2 4 2 3 2 3" xfId="12633" xr:uid="{00000000-0005-0000-0000-00000C5D0000}"/>
    <cellStyle name="Normal 3 2 2 4 2 3 3" xfId="6014" xr:uid="{00000000-0005-0000-0000-00000D5D0000}"/>
    <cellStyle name="Normal 3 2 2 4 2 3 3 2" xfId="14835" xr:uid="{00000000-0005-0000-0000-00000E5D0000}"/>
    <cellStyle name="Normal 3 2 2 4 2 3 4" xfId="10428" xr:uid="{00000000-0005-0000-0000-00000F5D0000}"/>
    <cellStyle name="Normal 3 2 2 4 2 4" xfId="3088" xr:uid="{00000000-0005-0000-0000-0000105D0000}"/>
    <cellStyle name="Normal 3 2 2 4 2 4 2" xfId="7482" xr:uid="{00000000-0005-0000-0000-0000115D0000}"/>
    <cellStyle name="Normal 3 2 2 4 2 4 2 2" xfId="16303" xr:uid="{00000000-0005-0000-0000-0000125D0000}"/>
    <cellStyle name="Normal 3 2 2 4 2 4 3" xfId="11896" xr:uid="{00000000-0005-0000-0000-0000135D0000}"/>
    <cellStyle name="Normal 3 2 2 4 2 5" xfId="5277" xr:uid="{00000000-0005-0000-0000-0000145D0000}"/>
    <cellStyle name="Normal 3 2 2 4 2 5 2" xfId="14098" xr:uid="{00000000-0005-0000-0000-0000155D0000}"/>
    <cellStyle name="Normal 3 2 2 4 2 6" xfId="9691" xr:uid="{00000000-0005-0000-0000-0000165D0000}"/>
    <cellStyle name="Normal 3 2 2 4 3" xfId="2142" xr:uid="{00000000-0005-0000-0000-0000175D0000}"/>
    <cellStyle name="Normal 3 2 2 4 3 2" xfId="4180" xr:uid="{00000000-0005-0000-0000-0000185D0000}"/>
    <cellStyle name="Normal 3 2 2 4 3 2 2" xfId="8588" xr:uid="{00000000-0005-0000-0000-0000195D0000}"/>
    <cellStyle name="Normal 3 2 2 4 3 2 2 2" xfId="17409" xr:uid="{00000000-0005-0000-0000-00001A5D0000}"/>
    <cellStyle name="Normal 3 2 2 4 3 2 3" xfId="13002" xr:uid="{00000000-0005-0000-0000-00001B5D0000}"/>
    <cellStyle name="Normal 3 2 2 4 3 3" xfId="6383" xr:uid="{00000000-0005-0000-0000-00001C5D0000}"/>
    <cellStyle name="Normal 3 2 2 4 3 3 2" xfId="15204" xr:uid="{00000000-0005-0000-0000-00001D5D0000}"/>
    <cellStyle name="Normal 3 2 2 4 3 4" xfId="10797" xr:uid="{00000000-0005-0000-0000-00001E5D0000}"/>
    <cellStyle name="Normal 3 2 2 4 4" xfId="1514" xr:uid="{00000000-0005-0000-0000-00001F5D0000}"/>
    <cellStyle name="Normal 3 2 2 4 4 2" xfId="3456" xr:uid="{00000000-0005-0000-0000-0000205D0000}"/>
    <cellStyle name="Normal 3 2 2 4 4 2 2" xfId="7850" xr:uid="{00000000-0005-0000-0000-0000215D0000}"/>
    <cellStyle name="Normal 3 2 2 4 4 2 2 2" xfId="16671" xr:uid="{00000000-0005-0000-0000-0000225D0000}"/>
    <cellStyle name="Normal 3 2 2 4 4 2 3" xfId="12264" xr:uid="{00000000-0005-0000-0000-0000235D0000}"/>
    <cellStyle name="Normal 3 2 2 4 4 3" xfId="5645" xr:uid="{00000000-0005-0000-0000-0000245D0000}"/>
    <cellStyle name="Normal 3 2 2 4 4 3 2" xfId="14466" xr:uid="{00000000-0005-0000-0000-0000255D0000}"/>
    <cellStyle name="Normal 3 2 2 4 4 4" xfId="10059" xr:uid="{00000000-0005-0000-0000-0000265D0000}"/>
    <cellStyle name="Normal 3 2 2 4 5" xfId="2720" xr:uid="{00000000-0005-0000-0000-0000275D0000}"/>
    <cellStyle name="Normal 3 2 2 4 5 2" xfId="7113" xr:uid="{00000000-0005-0000-0000-0000285D0000}"/>
    <cellStyle name="Normal 3 2 2 4 5 2 2" xfId="15934" xr:uid="{00000000-0005-0000-0000-0000295D0000}"/>
    <cellStyle name="Normal 3 2 2 4 5 3" xfId="11527" xr:uid="{00000000-0005-0000-0000-00002A5D0000}"/>
    <cellStyle name="Normal 3 2 2 4 6" xfId="4908" xr:uid="{00000000-0005-0000-0000-00002B5D0000}"/>
    <cellStyle name="Normal 3 2 2 4 6 2" xfId="13729" xr:uid="{00000000-0005-0000-0000-00002C5D0000}"/>
    <cellStyle name="Normal 3 2 2 4 7" xfId="9322" xr:uid="{00000000-0005-0000-0000-00002D5D0000}"/>
    <cellStyle name="Normal 3 2 2 4 8" xfId="28366" xr:uid="{00000000-0005-0000-0000-00002E5D0000}"/>
    <cellStyle name="Normal 3 2 2 4 9" xfId="29288" xr:uid="{00000000-0005-0000-0000-00002F5D0000}"/>
    <cellStyle name="Normal 3 2 2 5" xfId="1014" xr:uid="{00000000-0005-0000-0000-0000305D0000}"/>
    <cellStyle name="Normal 3 2 2 5 2" xfId="2272" xr:uid="{00000000-0005-0000-0000-0000315D0000}"/>
    <cellStyle name="Normal 3 2 2 5 2 2" xfId="4351" xr:uid="{00000000-0005-0000-0000-0000325D0000}"/>
    <cellStyle name="Normal 3 2 2 5 2 2 2" xfId="8772" xr:uid="{00000000-0005-0000-0000-0000335D0000}"/>
    <cellStyle name="Normal 3 2 2 5 2 2 2 2" xfId="17593" xr:uid="{00000000-0005-0000-0000-0000345D0000}"/>
    <cellStyle name="Normal 3 2 2 5 2 2 3" xfId="13186" xr:uid="{00000000-0005-0000-0000-0000355D0000}"/>
    <cellStyle name="Normal 3 2 2 5 2 3" xfId="6567" xr:uid="{00000000-0005-0000-0000-0000365D0000}"/>
    <cellStyle name="Normal 3 2 2 5 2 3 2" xfId="15388" xr:uid="{00000000-0005-0000-0000-0000375D0000}"/>
    <cellStyle name="Normal 3 2 2 5 2 4" xfId="10981" xr:uid="{00000000-0005-0000-0000-0000385D0000}"/>
    <cellStyle name="Normal 3 2 2 5 3" xfId="1685" xr:uid="{00000000-0005-0000-0000-0000395D0000}"/>
    <cellStyle name="Normal 3 2 2 5 3 2" xfId="3640" xr:uid="{00000000-0005-0000-0000-00003A5D0000}"/>
    <cellStyle name="Normal 3 2 2 5 3 2 2" xfId="8034" xr:uid="{00000000-0005-0000-0000-00003B5D0000}"/>
    <cellStyle name="Normal 3 2 2 5 3 2 2 2" xfId="16855" xr:uid="{00000000-0005-0000-0000-00003C5D0000}"/>
    <cellStyle name="Normal 3 2 2 5 3 2 3" xfId="12448" xr:uid="{00000000-0005-0000-0000-00003D5D0000}"/>
    <cellStyle name="Normal 3 2 2 5 3 3" xfId="5829" xr:uid="{00000000-0005-0000-0000-00003E5D0000}"/>
    <cellStyle name="Normal 3 2 2 5 3 3 2" xfId="14650" xr:uid="{00000000-0005-0000-0000-00003F5D0000}"/>
    <cellStyle name="Normal 3 2 2 5 3 4" xfId="10243" xr:uid="{00000000-0005-0000-0000-0000405D0000}"/>
    <cellStyle name="Normal 3 2 2 5 4" xfId="2903" xr:uid="{00000000-0005-0000-0000-0000415D0000}"/>
    <cellStyle name="Normal 3 2 2 5 4 2" xfId="7297" xr:uid="{00000000-0005-0000-0000-0000425D0000}"/>
    <cellStyle name="Normal 3 2 2 5 4 2 2" xfId="16118" xr:uid="{00000000-0005-0000-0000-0000435D0000}"/>
    <cellStyle name="Normal 3 2 2 5 4 3" xfId="11711" xr:uid="{00000000-0005-0000-0000-0000445D0000}"/>
    <cellStyle name="Normal 3 2 2 5 5" xfId="5092" xr:uid="{00000000-0005-0000-0000-0000455D0000}"/>
    <cellStyle name="Normal 3 2 2 5 5 2" xfId="13913" xr:uid="{00000000-0005-0000-0000-0000465D0000}"/>
    <cellStyle name="Normal 3 2 2 5 6" xfId="9506" xr:uid="{00000000-0005-0000-0000-0000475D0000}"/>
    <cellStyle name="Normal 3 2 2 5 7" xfId="28367" xr:uid="{00000000-0005-0000-0000-0000485D0000}"/>
    <cellStyle name="Normal 3 2 2 5 8" xfId="29289" xr:uid="{00000000-0005-0000-0000-0000495D0000}"/>
    <cellStyle name="Normal 3 2 2 6" xfId="2037" xr:uid="{00000000-0005-0000-0000-00004A5D0000}"/>
    <cellStyle name="Normal 3 2 2 6 2" xfId="3996" xr:uid="{00000000-0005-0000-0000-00004B5D0000}"/>
    <cellStyle name="Normal 3 2 2 6 2 2" xfId="8403" xr:uid="{00000000-0005-0000-0000-00004C5D0000}"/>
    <cellStyle name="Normal 3 2 2 6 2 2 2" xfId="17224" xr:uid="{00000000-0005-0000-0000-00004D5D0000}"/>
    <cellStyle name="Normal 3 2 2 6 2 3" xfId="12817" xr:uid="{00000000-0005-0000-0000-00004E5D0000}"/>
    <cellStyle name="Normal 3 2 2 6 3" xfId="6198" xr:uid="{00000000-0005-0000-0000-00004F5D0000}"/>
    <cellStyle name="Normal 3 2 2 6 3 2" xfId="15019" xr:uid="{00000000-0005-0000-0000-0000505D0000}"/>
    <cellStyle name="Normal 3 2 2 6 4" xfId="10612" xr:uid="{00000000-0005-0000-0000-0000515D0000}"/>
    <cellStyle name="Normal 3 2 2 7" xfId="1369" xr:uid="{00000000-0005-0000-0000-0000525D0000}"/>
    <cellStyle name="Normal 3 2 2 7 2" xfId="3271" xr:uid="{00000000-0005-0000-0000-0000535D0000}"/>
    <cellStyle name="Normal 3 2 2 7 2 2" xfId="7665" xr:uid="{00000000-0005-0000-0000-0000545D0000}"/>
    <cellStyle name="Normal 3 2 2 7 2 2 2" xfId="16486" xr:uid="{00000000-0005-0000-0000-0000555D0000}"/>
    <cellStyle name="Normal 3 2 2 7 2 3" xfId="12079" xr:uid="{00000000-0005-0000-0000-0000565D0000}"/>
    <cellStyle name="Normal 3 2 2 7 3" xfId="5460" xr:uid="{00000000-0005-0000-0000-0000575D0000}"/>
    <cellStyle name="Normal 3 2 2 7 3 2" xfId="14281" xr:uid="{00000000-0005-0000-0000-0000585D0000}"/>
    <cellStyle name="Normal 3 2 2 7 4" xfId="9874" xr:uid="{00000000-0005-0000-0000-0000595D0000}"/>
    <cellStyle name="Normal 3 2 2 8" xfId="2541" xr:uid="{00000000-0005-0000-0000-00005A5D0000}"/>
    <cellStyle name="Normal 3 2 2 8 2" xfId="6932" xr:uid="{00000000-0005-0000-0000-00005B5D0000}"/>
    <cellStyle name="Normal 3 2 2 8 2 2" xfId="15753" xr:uid="{00000000-0005-0000-0000-00005C5D0000}"/>
    <cellStyle name="Normal 3 2 2 8 3" xfId="11346" xr:uid="{00000000-0005-0000-0000-00005D5D0000}"/>
    <cellStyle name="Normal 3 2 2 9" xfId="4736" xr:uid="{00000000-0005-0000-0000-00005E5D0000}"/>
    <cellStyle name="Normal 3 2 2 9 2" xfId="13557" xr:uid="{00000000-0005-0000-0000-00005F5D0000}"/>
    <cellStyle name="Normal 3 2 3" xfId="133" xr:uid="{00000000-0005-0000-0000-0000605D0000}"/>
    <cellStyle name="Normal 3 2 3 10" xfId="9156" xr:uid="{00000000-0005-0000-0000-0000615D0000}"/>
    <cellStyle name="Normal 3 2 3 11" xfId="28368" xr:uid="{00000000-0005-0000-0000-0000625D0000}"/>
    <cellStyle name="Normal 3 2 3 12" xfId="29290" xr:uid="{00000000-0005-0000-0000-0000635D0000}"/>
    <cellStyle name="Normal 3 2 3 2" xfId="232" xr:uid="{00000000-0005-0000-0000-0000645D0000}"/>
    <cellStyle name="Normal 3 2 3 2 10" xfId="28369" xr:uid="{00000000-0005-0000-0000-0000655D0000}"/>
    <cellStyle name="Normal 3 2 3 2 11" xfId="29291" xr:uid="{00000000-0005-0000-0000-0000665D0000}"/>
    <cellStyle name="Normal 3 2 3 2 2" xfId="439" xr:uid="{00000000-0005-0000-0000-0000675D0000}"/>
    <cellStyle name="Normal 3 2 3 2 2 10" xfId="29292" xr:uid="{00000000-0005-0000-0000-0000685D0000}"/>
    <cellStyle name="Normal 3 2 3 2 2 2" xfId="932" xr:uid="{00000000-0005-0000-0000-0000695D0000}"/>
    <cellStyle name="Normal 3 2 3 2 2 2 2" xfId="1347" xr:uid="{00000000-0005-0000-0000-00006A5D0000}"/>
    <cellStyle name="Normal 3 2 3 2 2 2 2 2" xfId="2521" xr:uid="{00000000-0005-0000-0000-00006B5D0000}"/>
    <cellStyle name="Normal 3 2 3 2 2 2 2 2 2" xfId="4692" xr:uid="{00000000-0005-0000-0000-00006C5D0000}"/>
    <cellStyle name="Normal 3 2 3 2 2 2 2 2 2 2" xfId="9115" xr:uid="{00000000-0005-0000-0000-00006D5D0000}"/>
    <cellStyle name="Normal 3 2 3 2 2 2 2 2 2 2 2" xfId="17936" xr:uid="{00000000-0005-0000-0000-00006E5D0000}"/>
    <cellStyle name="Normal 3 2 3 2 2 2 2 2 2 3" xfId="13529" xr:uid="{00000000-0005-0000-0000-00006F5D0000}"/>
    <cellStyle name="Normal 3 2 3 2 2 2 2 2 3" xfId="6910" xr:uid="{00000000-0005-0000-0000-0000705D0000}"/>
    <cellStyle name="Normal 3 2 3 2 2 2 2 2 3 2" xfId="15731" xr:uid="{00000000-0005-0000-0000-0000715D0000}"/>
    <cellStyle name="Normal 3 2 3 2 2 2 2 2 4" xfId="11324" xr:uid="{00000000-0005-0000-0000-0000725D0000}"/>
    <cellStyle name="Normal 3 2 3 2 2 2 2 3" xfId="2026" xr:uid="{00000000-0005-0000-0000-0000735D0000}"/>
    <cellStyle name="Normal 3 2 3 2 2 2 2 3 2" xfId="3983" xr:uid="{00000000-0005-0000-0000-0000745D0000}"/>
    <cellStyle name="Normal 3 2 3 2 2 2 2 3 2 2" xfId="8377" xr:uid="{00000000-0005-0000-0000-0000755D0000}"/>
    <cellStyle name="Normal 3 2 3 2 2 2 2 3 2 2 2" xfId="17198" xr:uid="{00000000-0005-0000-0000-0000765D0000}"/>
    <cellStyle name="Normal 3 2 3 2 2 2 2 3 2 3" xfId="12791" xr:uid="{00000000-0005-0000-0000-0000775D0000}"/>
    <cellStyle name="Normal 3 2 3 2 2 2 2 3 3" xfId="6172" xr:uid="{00000000-0005-0000-0000-0000785D0000}"/>
    <cellStyle name="Normal 3 2 3 2 2 2 2 3 3 2" xfId="14993" xr:uid="{00000000-0005-0000-0000-0000795D0000}"/>
    <cellStyle name="Normal 3 2 3 2 2 2 2 3 4" xfId="10586" xr:uid="{00000000-0005-0000-0000-00007A5D0000}"/>
    <cellStyle name="Normal 3 2 3 2 2 2 2 4" xfId="3246" xr:uid="{00000000-0005-0000-0000-00007B5D0000}"/>
    <cellStyle name="Normal 3 2 3 2 2 2 2 4 2" xfId="7640" xr:uid="{00000000-0005-0000-0000-00007C5D0000}"/>
    <cellStyle name="Normal 3 2 3 2 2 2 2 4 2 2" xfId="16461" xr:uid="{00000000-0005-0000-0000-00007D5D0000}"/>
    <cellStyle name="Normal 3 2 3 2 2 2 2 4 3" xfId="12054" xr:uid="{00000000-0005-0000-0000-00007E5D0000}"/>
    <cellStyle name="Normal 3 2 3 2 2 2 2 5" xfId="5435" xr:uid="{00000000-0005-0000-0000-00007F5D0000}"/>
    <cellStyle name="Normal 3 2 3 2 2 2 2 5 2" xfId="14256" xr:uid="{00000000-0005-0000-0000-0000805D0000}"/>
    <cellStyle name="Normal 3 2 3 2 2 2 2 6" xfId="9849" xr:uid="{00000000-0005-0000-0000-0000815D0000}"/>
    <cellStyle name="Normal 3 2 3 2 2 2 3" xfId="2260" xr:uid="{00000000-0005-0000-0000-0000825D0000}"/>
    <cellStyle name="Normal 3 2 3 2 2 2 3 2" xfId="4337" xr:uid="{00000000-0005-0000-0000-0000835D0000}"/>
    <cellStyle name="Normal 3 2 3 2 2 2 3 2 2" xfId="8746" xr:uid="{00000000-0005-0000-0000-0000845D0000}"/>
    <cellStyle name="Normal 3 2 3 2 2 2 3 2 2 2" xfId="17567" xr:uid="{00000000-0005-0000-0000-0000855D0000}"/>
    <cellStyle name="Normal 3 2 3 2 2 2 3 2 3" xfId="13160" xr:uid="{00000000-0005-0000-0000-0000865D0000}"/>
    <cellStyle name="Normal 3 2 3 2 2 2 3 3" xfId="6541" xr:uid="{00000000-0005-0000-0000-0000875D0000}"/>
    <cellStyle name="Normal 3 2 3 2 2 2 3 3 2" xfId="15362" xr:uid="{00000000-0005-0000-0000-0000885D0000}"/>
    <cellStyle name="Normal 3 2 3 2 2 2 3 4" xfId="10955" xr:uid="{00000000-0005-0000-0000-0000895D0000}"/>
    <cellStyle name="Normal 3 2 3 2 2 2 4" xfId="1671" xr:uid="{00000000-0005-0000-0000-00008A5D0000}"/>
    <cellStyle name="Normal 3 2 3 2 2 2 4 2" xfId="3614" xr:uid="{00000000-0005-0000-0000-00008B5D0000}"/>
    <cellStyle name="Normal 3 2 3 2 2 2 4 2 2" xfId="8008" xr:uid="{00000000-0005-0000-0000-00008C5D0000}"/>
    <cellStyle name="Normal 3 2 3 2 2 2 4 2 2 2" xfId="16829" xr:uid="{00000000-0005-0000-0000-00008D5D0000}"/>
    <cellStyle name="Normal 3 2 3 2 2 2 4 2 3" xfId="12422" xr:uid="{00000000-0005-0000-0000-00008E5D0000}"/>
    <cellStyle name="Normal 3 2 3 2 2 2 4 3" xfId="5803" xr:uid="{00000000-0005-0000-0000-00008F5D0000}"/>
    <cellStyle name="Normal 3 2 3 2 2 2 4 3 2" xfId="14624" xr:uid="{00000000-0005-0000-0000-0000905D0000}"/>
    <cellStyle name="Normal 3 2 3 2 2 2 4 4" xfId="10217" xr:uid="{00000000-0005-0000-0000-0000915D0000}"/>
    <cellStyle name="Normal 3 2 3 2 2 2 5" xfId="2877" xr:uid="{00000000-0005-0000-0000-0000925D0000}"/>
    <cellStyle name="Normal 3 2 3 2 2 2 5 2" xfId="7271" xr:uid="{00000000-0005-0000-0000-0000935D0000}"/>
    <cellStyle name="Normal 3 2 3 2 2 2 5 2 2" xfId="16092" xr:uid="{00000000-0005-0000-0000-0000945D0000}"/>
    <cellStyle name="Normal 3 2 3 2 2 2 5 3" xfId="11685" xr:uid="{00000000-0005-0000-0000-0000955D0000}"/>
    <cellStyle name="Normal 3 2 3 2 2 2 6" xfId="5066" xr:uid="{00000000-0005-0000-0000-0000965D0000}"/>
    <cellStyle name="Normal 3 2 3 2 2 2 6 2" xfId="13887" xr:uid="{00000000-0005-0000-0000-0000975D0000}"/>
    <cellStyle name="Normal 3 2 3 2 2 2 7" xfId="9480" xr:uid="{00000000-0005-0000-0000-0000985D0000}"/>
    <cellStyle name="Normal 3 2 3 2 2 2 8" xfId="28371" xr:uid="{00000000-0005-0000-0000-0000995D0000}"/>
    <cellStyle name="Normal 3 2 3 2 2 2 9" xfId="29293" xr:uid="{00000000-0005-0000-0000-00009A5D0000}"/>
    <cellStyle name="Normal 3 2 3 2 2 3" xfId="1090" xr:uid="{00000000-0005-0000-0000-00009B5D0000}"/>
    <cellStyle name="Normal 3 2 3 2 2 3 2" xfId="2390" xr:uid="{00000000-0005-0000-0000-00009C5D0000}"/>
    <cellStyle name="Normal 3 2 3 2 2 3 2 2" xfId="4508" xr:uid="{00000000-0005-0000-0000-00009D5D0000}"/>
    <cellStyle name="Normal 3 2 3 2 2 3 2 2 2" xfId="8930" xr:uid="{00000000-0005-0000-0000-00009E5D0000}"/>
    <cellStyle name="Normal 3 2 3 2 2 3 2 2 2 2" xfId="17751" xr:uid="{00000000-0005-0000-0000-00009F5D0000}"/>
    <cellStyle name="Normal 3 2 3 2 2 3 2 2 3" xfId="13344" xr:uid="{00000000-0005-0000-0000-0000A05D0000}"/>
    <cellStyle name="Normal 3 2 3 2 2 3 2 3" xfId="6725" xr:uid="{00000000-0005-0000-0000-0000A15D0000}"/>
    <cellStyle name="Normal 3 2 3 2 2 3 2 3 2" xfId="15546" xr:uid="{00000000-0005-0000-0000-0000A25D0000}"/>
    <cellStyle name="Normal 3 2 3 2 2 3 2 4" xfId="11139" xr:uid="{00000000-0005-0000-0000-0000A35D0000}"/>
    <cellStyle name="Normal 3 2 3 2 2 3 3" xfId="1842" xr:uid="{00000000-0005-0000-0000-0000A45D0000}"/>
    <cellStyle name="Normal 3 2 3 2 2 3 3 2" xfId="3798" xr:uid="{00000000-0005-0000-0000-0000A55D0000}"/>
    <cellStyle name="Normal 3 2 3 2 2 3 3 2 2" xfId="8192" xr:uid="{00000000-0005-0000-0000-0000A65D0000}"/>
    <cellStyle name="Normal 3 2 3 2 2 3 3 2 2 2" xfId="17013" xr:uid="{00000000-0005-0000-0000-0000A75D0000}"/>
    <cellStyle name="Normal 3 2 3 2 2 3 3 2 3" xfId="12606" xr:uid="{00000000-0005-0000-0000-0000A85D0000}"/>
    <cellStyle name="Normal 3 2 3 2 2 3 3 3" xfId="5987" xr:uid="{00000000-0005-0000-0000-0000A95D0000}"/>
    <cellStyle name="Normal 3 2 3 2 2 3 3 3 2" xfId="14808" xr:uid="{00000000-0005-0000-0000-0000AA5D0000}"/>
    <cellStyle name="Normal 3 2 3 2 2 3 3 4" xfId="10401" xr:uid="{00000000-0005-0000-0000-0000AB5D0000}"/>
    <cellStyle name="Normal 3 2 3 2 2 3 4" xfId="3061" xr:uid="{00000000-0005-0000-0000-0000AC5D0000}"/>
    <cellStyle name="Normal 3 2 3 2 2 3 4 2" xfId="7455" xr:uid="{00000000-0005-0000-0000-0000AD5D0000}"/>
    <cellStyle name="Normal 3 2 3 2 2 3 4 2 2" xfId="16276" xr:uid="{00000000-0005-0000-0000-0000AE5D0000}"/>
    <cellStyle name="Normal 3 2 3 2 2 3 4 3" xfId="11869" xr:uid="{00000000-0005-0000-0000-0000AF5D0000}"/>
    <cellStyle name="Normal 3 2 3 2 2 3 5" xfId="5250" xr:uid="{00000000-0005-0000-0000-0000B05D0000}"/>
    <cellStyle name="Normal 3 2 3 2 2 3 5 2" xfId="14071" xr:uid="{00000000-0005-0000-0000-0000B15D0000}"/>
    <cellStyle name="Normal 3 2 3 2 2 3 6" xfId="9664" xr:uid="{00000000-0005-0000-0000-0000B25D0000}"/>
    <cellStyle name="Normal 3 2 3 2 2 4" xfId="2129" xr:uid="{00000000-0005-0000-0000-0000B35D0000}"/>
    <cellStyle name="Normal 3 2 3 2 2 4 2" xfId="4153" xr:uid="{00000000-0005-0000-0000-0000B45D0000}"/>
    <cellStyle name="Normal 3 2 3 2 2 4 2 2" xfId="8561" xr:uid="{00000000-0005-0000-0000-0000B55D0000}"/>
    <cellStyle name="Normal 3 2 3 2 2 4 2 2 2" xfId="17382" xr:uid="{00000000-0005-0000-0000-0000B65D0000}"/>
    <cellStyle name="Normal 3 2 3 2 2 4 2 3" xfId="12975" xr:uid="{00000000-0005-0000-0000-0000B75D0000}"/>
    <cellStyle name="Normal 3 2 3 2 2 4 3" xfId="6356" xr:uid="{00000000-0005-0000-0000-0000B85D0000}"/>
    <cellStyle name="Normal 3 2 3 2 2 4 3 2" xfId="15177" xr:uid="{00000000-0005-0000-0000-0000B95D0000}"/>
    <cellStyle name="Normal 3 2 3 2 2 4 4" xfId="10770" xr:uid="{00000000-0005-0000-0000-0000BA5D0000}"/>
    <cellStyle name="Normal 3 2 3 2 2 5" xfId="1487" xr:uid="{00000000-0005-0000-0000-0000BB5D0000}"/>
    <cellStyle name="Normal 3 2 3 2 2 5 2" xfId="3429" xr:uid="{00000000-0005-0000-0000-0000BC5D0000}"/>
    <cellStyle name="Normal 3 2 3 2 2 5 2 2" xfId="7823" xr:uid="{00000000-0005-0000-0000-0000BD5D0000}"/>
    <cellStyle name="Normal 3 2 3 2 2 5 2 2 2" xfId="16644" xr:uid="{00000000-0005-0000-0000-0000BE5D0000}"/>
    <cellStyle name="Normal 3 2 3 2 2 5 2 3" xfId="12237" xr:uid="{00000000-0005-0000-0000-0000BF5D0000}"/>
    <cellStyle name="Normal 3 2 3 2 2 5 3" xfId="5618" xr:uid="{00000000-0005-0000-0000-0000C05D0000}"/>
    <cellStyle name="Normal 3 2 3 2 2 5 3 2" xfId="14439" xr:uid="{00000000-0005-0000-0000-0000C15D0000}"/>
    <cellStyle name="Normal 3 2 3 2 2 5 4" xfId="10032" xr:uid="{00000000-0005-0000-0000-0000C25D0000}"/>
    <cellStyle name="Normal 3 2 3 2 2 6" xfId="2693" xr:uid="{00000000-0005-0000-0000-0000C35D0000}"/>
    <cellStyle name="Normal 3 2 3 2 2 6 2" xfId="7086" xr:uid="{00000000-0005-0000-0000-0000C45D0000}"/>
    <cellStyle name="Normal 3 2 3 2 2 6 2 2" xfId="15907" xr:uid="{00000000-0005-0000-0000-0000C55D0000}"/>
    <cellStyle name="Normal 3 2 3 2 2 6 3" xfId="11500" xr:uid="{00000000-0005-0000-0000-0000C65D0000}"/>
    <cellStyle name="Normal 3 2 3 2 2 7" xfId="4881" xr:uid="{00000000-0005-0000-0000-0000C75D0000}"/>
    <cellStyle name="Normal 3 2 3 2 2 7 2" xfId="13702" xr:uid="{00000000-0005-0000-0000-0000C85D0000}"/>
    <cellStyle name="Normal 3 2 3 2 2 8" xfId="9295" xr:uid="{00000000-0005-0000-0000-0000C95D0000}"/>
    <cellStyle name="Normal 3 2 3 2 2 9" xfId="28370" xr:uid="{00000000-0005-0000-0000-0000CA5D0000}"/>
    <cellStyle name="Normal 3 2 3 2 3" xfId="732" xr:uid="{00000000-0005-0000-0000-0000CB5D0000}"/>
    <cellStyle name="Normal 3 2 3 2 3 2" xfId="1084" xr:uid="{00000000-0005-0000-0000-0000CC5D0000}"/>
    <cellStyle name="Normal 3 2 3 2 3 2 2" xfId="2456" xr:uid="{00000000-0005-0000-0000-0000CD5D0000}"/>
    <cellStyle name="Normal 3 2 3 2 3 2 2 2" xfId="4600" xr:uid="{00000000-0005-0000-0000-0000CE5D0000}"/>
    <cellStyle name="Normal 3 2 3 2 3 2 2 2 2" xfId="9023" xr:uid="{00000000-0005-0000-0000-0000CF5D0000}"/>
    <cellStyle name="Normal 3 2 3 2 3 2 2 2 2 2" xfId="17844" xr:uid="{00000000-0005-0000-0000-0000D05D0000}"/>
    <cellStyle name="Normal 3 2 3 2 3 2 2 2 3" xfId="13437" xr:uid="{00000000-0005-0000-0000-0000D15D0000}"/>
    <cellStyle name="Normal 3 2 3 2 3 2 2 3" xfId="6818" xr:uid="{00000000-0005-0000-0000-0000D25D0000}"/>
    <cellStyle name="Normal 3 2 3 2 3 2 2 3 2" xfId="15639" xr:uid="{00000000-0005-0000-0000-0000D35D0000}"/>
    <cellStyle name="Normal 3 2 3 2 3 2 2 4" xfId="11232" xr:uid="{00000000-0005-0000-0000-0000D45D0000}"/>
    <cellStyle name="Normal 3 2 3 2 3 2 3" xfId="1934" xr:uid="{00000000-0005-0000-0000-0000D55D0000}"/>
    <cellStyle name="Normal 3 2 3 2 3 2 3 2" xfId="3891" xr:uid="{00000000-0005-0000-0000-0000D65D0000}"/>
    <cellStyle name="Normal 3 2 3 2 3 2 3 2 2" xfId="8285" xr:uid="{00000000-0005-0000-0000-0000D75D0000}"/>
    <cellStyle name="Normal 3 2 3 2 3 2 3 2 2 2" xfId="17106" xr:uid="{00000000-0005-0000-0000-0000D85D0000}"/>
    <cellStyle name="Normal 3 2 3 2 3 2 3 2 3" xfId="12699" xr:uid="{00000000-0005-0000-0000-0000D95D0000}"/>
    <cellStyle name="Normal 3 2 3 2 3 2 3 3" xfId="6080" xr:uid="{00000000-0005-0000-0000-0000DA5D0000}"/>
    <cellStyle name="Normal 3 2 3 2 3 2 3 3 2" xfId="14901" xr:uid="{00000000-0005-0000-0000-0000DB5D0000}"/>
    <cellStyle name="Normal 3 2 3 2 3 2 3 4" xfId="10494" xr:uid="{00000000-0005-0000-0000-0000DC5D0000}"/>
    <cellStyle name="Normal 3 2 3 2 3 2 4" xfId="3154" xr:uid="{00000000-0005-0000-0000-0000DD5D0000}"/>
    <cellStyle name="Normal 3 2 3 2 3 2 4 2" xfId="7548" xr:uid="{00000000-0005-0000-0000-0000DE5D0000}"/>
    <cellStyle name="Normal 3 2 3 2 3 2 4 2 2" xfId="16369" xr:uid="{00000000-0005-0000-0000-0000DF5D0000}"/>
    <cellStyle name="Normal 3 2 3 2 3 2 4 3" xfId="11962" xr:uid="{00000000-0005-0000-0000-0000E05D0000}"/>
    <cellStyle name="Normal 3 2 3 2 3 2 5" xfId="5343" xr:uid="{00000000-0005-0000-0000-0000E15D0000}"/>
    <cellStyle name="Normal 3 2 3 2 3 2 5 2" xfId="14164" xr:uid="{00000000-0005-0000-0000-0000E25D0000}"/>
    <cellStyle name="Normal 3 2 3 2 3 2 6" xfId="9757" xr:uid="{00000000-0005-0000-0000-0000E35D0000}"/>
    <cellStyle name="Normal 3 2 3 2 3 3" xfId="2195" xr:uid="{00000000-0005-0000-0000-0000E45D0000}"/>
    <cellStyle name="Normal 3 2 3 2 3 3 2" xfId="4245" xr:uid="{00000000-0005-0000-0000-0000E55D0000}"/>
    <cellStyle name="Normal 3 2 3 2 3 3 2 2" xfId="8654" xr:uid="{00000000-0005-0000-0000-0000E65D0000}"/>
    <cellStyle name="Normal 3 2 3 2 3 3 2 2 2" xfId="17475" xr:uid="{00000000-0005-0000-0000-0000E75D0000}"/>
    <cellStyle name="Normal 3 2 3 2 3 3 2 3" xfId="13068" xr:uid="{00000000-0005-0000-0000-0000E85D0000}"/>
    <cellStyle name="Normal 3 2 3 2 3 3 3" xfId="6449" xr:uid="{00000000-0005-0000-0000-0000E95D0000}"/>
    <cellStyle name="Normal 3 2 3 2 3 3 3 2" xfId="15270" xr:uid="{00000000-0005-0000-0000-0000EA5D0000}"/>
    <cellStyle name="Normal 3 2 3 2 3 3 4" xfId="10863" xr:uid="{00000000-0005-0000-0000-0000EB5D0000}"/>
    <cellStyle name="Normal 3 2 3 2 3 4" xfId="1579" xr:uid="{00000000-0005-0000-0000-0000EC5D0000}"/>
    <cellStyle name="Normal 3 2 3 2 3 4 2" xfId="3522" xr:uid="{00000000-0005-0000-0000-0000ED5D0000}"/>
    <cellStyle name="Normal 3 2 3 2 3 4 2 2" xfId="7916" xr:uid="{00000000-0005-0000-0000-0000EE5D0000}"/>
    <cellStyle name="Normal 3 2 3 2 3 4 2 2 2" xfId="16737" xr:uid="{00000000-0005-0000-0000-0000EF5D0000}"/>
    <cellStyle name="Normal 3 2 3 2 3 4 2 3" xfId="12330" xr:uid="{00000000-0005-0000-0000-0000F05D0000}"/>
    <cellStyle name="Normal 3 2 3 2 3 4 3" xfId="5711" xr:uid="{00000000-0005-0000-0000-0000F15D0000}"/>
    <cellStyle name="Normal 3 2 3 2 3 4 3 2" xfId="14532" xr:uid="{00000000-0005-0000-0000-0000F25D0000}"/>
    <cellStyle name="Normal 3 2 3 2 3 4 4" xfId="10125" xr:uid="{00000000-0005-0000-0000-0000F35D0000}"/>
    <cellStyle name="Normal 3 2 3 2 3 5" xfId="2785" xr:uid="{00000000-0005-0000-0000-0000F45D0000}"/>
    <cellStyle name="Normal 3 2 3 2 3 5 2" xfId="7179" xr:uid="{00000000-0005-0000-0000-0000F55D0000}"/>
    <cellStyle name="Normal 3 2 3 2 3 5 2 2" xfId="16000" xr:uid="{00000000-0005-0000-0000-0000F65D0000}"/>
    <cellStyle name="Normal 3 2 3 2 3 5 3" xfId="11593" xr:uid="{00000000-0005-0000-0000-0000F75D0000}"/>
    <cellStyle name="Normal 3 2 3 2 3 6" xfId="4974" xr:uid="{00000000-0005-0000-0000-0000F85D0000}"/>
    <cellStyle name="Normal 3 2 3 2 3 6 2" xfId="13795" xr:uid="{00000000-0005-0000-0000-0000F95D0000}"/>
    <cellStyle name="Normal 3 2 3 2 3 7" xfId="9388" xr:uid="{00000000-0005-0000-0000-0000FA5D0000}"/>
    <cellStyle name="Normal 3 2 3 2 3 8" xfId="28372" xr:uid="{00000000-0005-0000-0000-0000FB5D0000}"/>
    <cellStyle name="Normal 3 2 3 2 3 9" xfId="29294" xr:uid="{00000000-0005-0000-0000-0000FC5D0000}"/>
    <cellStyle name="Normal 3 2 3 2 4" xfId="1141" xr:uid="{00000000-0005-0000-0000-0000FD5D0000}"/>
    <cellStyle name="Normal 3 2 3 2 4 2" xfId="2325" xr:uid="{00000000-0005-0000-0000-0000FE5D0000}"/>
    <cellStyle name="Normal 3 2 3 2 4 2 2" xfId="4416" xr:uid="{00000000-0005-0000-0000-0000FF5D0000}"/>
    <cellStyle name="Normal 3 2 3 2 4 2 2 2" xfId="8838" xr:uid="{00000000-0005-0000-0000-0000005E0000}"/>
    <cellStyle name="Normal 3 2 3 2 4 2 2 2 2" xfId="17659" xr:uid="{00000000-0005-0000-0000-0000015E0000}"/>
    <cellStyle name="Normal 3 2 3 2 4 2 2 3" xfId="13252" xr:uid="{00000000-0005-0000-0000-0000025E0000}"/>
    <cellStyle name="Normal 3 2 3 2 4 2 3" xfId="6633" xr:uid="{00000000-0005-0000-0000-0000035E0000}"/>
    <cellStyle name="Normal 3 2 3 2 4 2 3 2" xfId="15454" xr:uid="{00000000-0005-0000-0000-0000045E0000}"/>
    <cellStyle name="Normal 3 2 3 2 4 2 4" xfId="11047" xr:uid="{00000000-0005-0000-0000-0000055E0000}"/>
    <cellStyle name="Normal 3 2 3 2 4 3" xfId="1750" xr:uid="{00000000-0005-0000-0000-0000065E0000}"/>
    <cellStyle name="Normal 3 2 3 2 4 3 2" xfId="3706" xr:uid="{00000000-0005-0000-0000-0000075E0000}"/>
    <cellStyle name="Normal 3 2 3 2 4 3 2 2" xfId="8100" xr:uid="{00000000-0005-0000-0000-0000085E0000}"/>
    <cellStyle name="Normal 3 2 3 2 4 3 2 2 2" xfId="16921" xr:uid="{00000000-0005-0000-0000-0000095E0000}"/>
    <cellStyle name="Normal 3 2 3 2 4 3 2 3" xfId="12514" xr:uid="{00000000-0005-0000-0000-00000A5E0000}"/>
    <cellStyle name="Normal 3 2 3 2 4 3 3" xfId="5895" xr:uid="{00000000-0005-0000-0000-00000B5E0000}"/>
    <cellStyle name="Normal 3 2 3 2 4 3 3 2" xfId="14716" xr:uid="{00000000-0005-0000-0000-00000C5E0000}"/>
    <cellStyle name="Normal 3 2 3 2 4 3 4" xfId="10309" xr:uid="{00000000-0005-0000-0000-00000D5E0000}"/>
    <cellStyle name="Normal 3 2 3 2 4 4" xfId="2969" xr:uid="{00000000-0005-0000-0000-00000E5E0000}"/>
    <cellStyle name="Normal 3 2 3 2 4 4 2" xfId="7363" xr:uid="{00000000-0005-0000-0000-00000F5E0000}"/>
    <cellStyle name="Normal 3 2 3 2 4 4 2 2" xfId="16184" xr:uid="{00000000-0005-0000-0000-0000105E0000}"/>
    <cellStyle name="Normal 3 2 3 2 4 4 3" xfId="11777" xr:uid="{00000000-0005-0000-0000-0000115E0000}"/>
    <cellStyle name="Normal 3 2 3 2 4 5" xfId="5158" xr:uid="{00000000-0005-0000-0000-0000125E0000}"/>
    <cellStyle name="Normal 3 2 3 2 4 5 2" xfId="13979" xr:uid="{00000000-0005-0000-0000-0000135E0000}"/>
    <cellStyle name="Normal 3 2 3 2 4 6" xfId="9572" xr:uid="{00000000-0005-0000-0000-0000145E0000}"/>
    <cellStyle name="Normal 3 2 3 2 5" xfId="2064" xr:uid="{00000000-0005-0000-0000-0000155E0000}"/>
    <cellStyle name="Normal 3 2 3 2 5 2" xfId="4061" xr:uid="{00000000-0005-0000-0000-0000165E0000}"/>
    <cellStyle name="Normal 3 2 3 2 5 2 2" xfId="8469" xr:uid="{00000000-0005-0000-0000-0000175E0000}"/>
    <cellStyle name="Normal 3 2 3 2 5 2 2 2" xfId="17290" xr:uid="{00000000-0005-0000-0000-0000185E0000}"/>
    <cellStyle name="Normal 3 2 3 2 5 2 3" xfId="12883" xr:uid="{00000000-0005-0000-0000-0000195E0000}"/>
    <cellStyle name="Normal 3 2 3 2 5 3" xfId="6264" xr:uid="{00000000-0005-0000-0000-00001A5E0000}"/>
    <cellStyle name="Normal 3 2 3 2 5 3 2" xfId="15085" xr:uid="{00000000-0005-0000-0000-00001B5E0000}"/>
    <cellStyle name="Normal 3 2 3 2 5 4" xfId="10678" xr:uid="{00000000-0005-0000-0000-00001C5E0000}"/>
    <cellStyle name="Normal 3 2 3 2 6" xfId="1422" xr:uid="{00000000-0005-0000-0000-00001D5E0000}"/>
    <cellStyle name="Normal 3 2 3 2 6 2" xfId="3337" xr:uid="{00000000-0005-0000-0000-00001E5E0000}"/>
    <cellStyle name="Normal 3 2 3 2 6 2 2" xfId="7731" xr:uid="{00000000-0005-0000-0000-00001F5E0000}"/>
    <cellStyle name="Normal 3 2 3 2 6 2 2 2" xfId="16552" xr:uid="{00000000-0005-0000-0000-0000205E0000}"/>
    <cellStyle name="Normal 3 2 3 2 6 2 3" xfId="12145" xr:uid="{00000000-0005-0000-0000-0000215E0000}"/>
    <cellStyle name="Normal 3 2 3 2 6 3" xfId="5526" xr:uid="{00000000-0005-0000-0000-0000225E0000}"/>
    <cellStyle name="Normal 3 2 3 2 6 3 2" xfId="14347" xr:uid="{00000000-0005-0000-0000-0000235E0000}"/>
    <cellStyle name="Normal 3 2 3 2 6 4" xfId="9940" xr:uid="{00000000-0005-0000-0000-0000245E0000}"/>
    <cellStyle name="Normal 3 2 3 2 7" xfId="2601" xr:uid="{00000000-0005-0000-0000-0000255E0000}"/>
    <cellStyle name="Normal 3 2 3 2 7 2" xfId="6994" xr:uid="{00000000-0005-0000-0000-0000265E0000}"/>
    <cellStyle name="Normal 3 2 3 2 7 2 2" xfId="15815" xr:uid="{00000000-0005-0000-0000-0000275E0000}"/>
    <cellStyle name="Normal 3 2 3 2 7 3" xfId="11408" xr:uid="{00000000-0005-0000-0000-0000285E0000}"/>
    <cellStyle name="Normal 3 2 3 2 8" xfId="4789" xr:uid="{00000000-0005-0000-0000-0000295E0000}"/>
    <cellStyle name="Normal 3 2 3 2 8 2" xfId="13610" xr:uid="{00000000-0005-0000-0000-00002A5E0000}"/>
    <cellStyle name="Normal 3 2 3 2 9" xfId="9203" xr:uid="{00000000-0005-0000-0000-00002B5E0000}"/>
    <cellStyle name="Normal 3 2 3 3" xfId="346" xr:uid="{00000000-0005-0000-0000-00002C5E0000}"/>
    <cellStyle name="Normal 3 2 3 3 10" xfId="29295" xr:uid="{00000000-0005-0000-0000-00002D5E0000}"/>
    <cellStyle name="Normal 3 2 3 3 2" xfId="839" xr:uid="{00000000-0005-0000-0000-00002E5E0000}"/>
    <cellStyle name="Normal 3 2 3 3 2 2" xfId="1327" xr:uid="{00000000-0005-0000-0000-00002F5E0000}"/>
    <cellStyle name="Normal 3 2 3 3 2 2 2" xfId="2475" xr:uid="{00000000-0005-0000-0000-0000305E0000}"/>
    <cellStyle name="Normal 3 2 3 3 2 2 2 2" xfId="4645" xr:uid="{00000000-0005-0000-0000-0000315E0000}"/>
    <cellStyle name="Normal 3 2 3 3 2 2 2 2 2" xfId="9068" xr:uid="{00000000-0005-0000-0000-0000325E0000}"/>
    <cellStyle name="Normal 3 2 3 3 2 2 2 2 2 2" xfId="17889" xr:uid="{00000000-0005-0000-0000-0000335E0000}"/>
    <cellStyle name="Normal 3 2 3 3 2 2 2 2 3" xfId="13482" xr:uid="{00000000-0005-0000-0000-0000345E0000}"/>
    <cellStyle name="Normal 3 2 3 3 2 2 2 3" xfId="6863" xr:uid="{00000000-0005-0000-0000-0000355E0000}"/>
    <cellStyle name="Normal 3 2 3 3 2 2 2 3 2" xfId="15684" xr:uid="{00000000-0005-0000-0000-0000365E0000}"/>
    <cellStyle name="Normal 3 2 3 3 2 2 2 4" xfId="11277" xr:uid="{00000000-0005-0000-0000-0000375E0000}"/>
    <cellStyle name="Normal 3 2 3 3 2 2 3" xfId="1979" xr:uid="{00000000-0005-0000-0000-0000385E0000}"/>
    <cellStyle name="Normal 3 2 3 3 2 2 3 2" xfId="3936" xr:uid="{00000000-0005-0000-0000-0000395E0000}"/>
    <cellStyle name="Normal 3 2 3 3 2 2 3 2 2" xfId="8330" xr:uid="{00000000-0005-0000-0000-00003A5E0000}"/>
    <cellStyle name="Normal 3 2 3 3 2 2 3 2 2 2" xfId="17151" xr:uid="{00000000-0005-0000-0000-00003B5E0000}"/>
    <cellStyle name="Normal 3 2 3 3 2 2 3 2 3" xfId="12744" xr:uid="{00000000-0005-0000-0000-00003C5E0000}"/>
    <cellStyle name="Normal 3 2 3 3 2 2 3 3" xfId="6125" xr:uid="{00000000-0005-0000-0000-00003D5E0000}"/>
    <cellStyle name="Normal 3 2 3 3 2 2 3 3 2" xfId="14946" xr:uid="{00000000-0005-0000-0000-00003E5E0000}"/>
    <cellStyle name="Normal 3 2 3 3 2 2 3 4" xfId="10539" xr:uid="{00000000-0005-0000-0000-00003F5E0000}"/>
    <cellStyle name="Normal 3 2 3 3 2 2 4" xfId="3199" xr:uid="{00000000-0005-0000-0000-0000405E0000}"/>
    <cellStyle name="Normal 3 2 3 3 2 2 4 2" xfId="7593" xr:uid="{00000000-0005-0000-0000-0000415E0000}"/>
    <cellStyle name="Normal 3 2 3 3 2 2 4 2 2" xfId="16414" xr:uid="{00000000-0005-0000-0000-0000425E0000}"/>
    <cellStyle name="Normal 3 2 3 3 2 2 4 3" xfId="12007" xr:uid="{00000000-0005-0000-0000-0000435E0000}"/>
    <cellStyle name="Normal 3 2 3 3 2 2 5" xfId="5388" xr:uid="{00000000-0005-0000-0000-0000445E0000}"/>
    <cellStyle name="Normal 3 2 3 3 2 2 5 2" xfId="14209" xr:uid="{00000000-0005-0000-0000-0000455E0000}"/>
    <cellStyle name="Normal 3 2 3 3 2 2 6" xfId="9802" xr:uid="{00000000-0005-0000-0000-0000465E0000}"/>
    <cellStyle name="Normal 3 2 3 3 2 3" xfId="2214" xr:uid="{00000000-0005-0000-0000-0000475E0000}"/>
    <cellStyle name="Normal 3 2 3 3 2 3 2" xfId="4290" xr:uid="{00000000-0005-0000-0000-0000485E0000}"/>
    <cellStyle name="Normal 3 2 3 3 2 3 2 2" xfId="8699" xr:uid="{00000000-0005-0000-0000-0000495E0000}"/>
    <cellStyle name="Normal 3 2 3 3 2 3 2 2 2" xfId="17520" xr:uid="{00000000-0005-0000-0000-00004A5E0000}"/>
    <cellStyle name="Normal 3 2 3 3 2 3 2 3" xfId="13113" xr:uid="{00000000-0005-0000-0000-00004B5E0000}"/>
    <cellStyle name="Normal 3 2 3 3 2 3 3" xfId="6494" xr:uid="{00000000-0005-0000-0000-00004C5E0000}"/>
    <cellStyle name="Normal 3 2 3 3 2 3 3 2" xfId="15315" xr:uid="{00000000-0005-0000-0000-00004D5E0000}"/>
    <cellStyle name="Normal 3 2 3 3 2 3 4" xfId="10908" xr:uid="{00000000-0005-0000-0000-00004E5E0000}"/>
    <cellStyle name="Normal 3 2 3 3 2 4" xfId="1624" xr:uid="{00000000-0005-0000-0000-00004F5E0000}"/>
    <cellStyle name="Normal 3 2 3 3 2 4 2" xfId="3567" xr:uid="{00000000-0005-0000-0000-0000505E0000}"/>
    <cellStyle name="Normal 3 2 3 3 2 4 2 2" xfId="7961" xr:uid="{00000000-0005-0000-0000-0000515E0000}"/>
    <cellStyle name="Normal 3 2 3 3 2 4 2 2 2" xfId="16782" xr:uid="{00000000-0005-0000-0000-0000525E0000}"/>
    <cellStyle name="Normal 3 2 3 3 2 4 2 3" xfId="12375" xr:uid="{00000000-0005-0000-0000-0000535E0000}"/>
    <cellStyle name="Normal 3 2 3 3 2 4 3" xfId="5756" xr:uid="{00000000-0005-0000-0000-0000545E0000}"/>
    <cellStyle name="Normal 3 2 3 3 2 4 3 2" xfId="14577" xr:uid="{00000000-0005-0000-0000-0000555E0000}"/>
    <cellStyle name="Normal 3 2 3 3 2 4 4" xfId="10170" xr:uid="{00000000-0005-0000-0000-0000565E0000}"/>
    <cellStyle name="Normal 3 2 3 3 2 5" xfId="2830" xr:uid="{00000000-0005-0000-0000-0000575E0000}"/>
    <cellStyle name="Normal 3 2 3 3 2 5 2" xfId="7224" xr:uid="{00000000-0005-0000-0000-0000585E0000}"/>
    <cellStyle name="Normal 3 2 3 3 2 5 2 2" xfId="16045" xr:uid="{00000000-0005-0000-0000-0000595E0000}"/>
    <cellStyle name="Normal 3 2 3 3 2 5 3" xfId="11638" xr:uid="{00000000-0005-0000-0000-00005A5E0000}"/>
    <cellStyle name="Normal 3 2 3 3 2 6" xfId="5019" xr:uid="{00000000-0005-0000-0000-00005B5E0000}"/>
    <cellStyle name="Normal 3 2 3 3 2 6 2" xfId="13840" xr:uid="{00000000-0005-0000-0000-00005C5E0000}"/>
    <cellStyle name="Normal 3 2 3 3 2 7" xfId="9433" xr:uid="{00000000-0005-0000-0000-00005D5E0000}"/>
    <cellStyle name="Normal 3 2 3 3 2 8" xfId="28374" xr:uid="{00000000-0005-0000-0000-00005E5E0000}"/>
    <cellStyle name="Normal 3 2 3 3 2 9" xfId="29296" xr:uid="{00000000-0005-0000-0000-00005F5E0000}"/>
    <cellStyle name="Normal 3 2 3 3 3" xfId="1236" xr:uid="{00000000-0005-0000-0000-0000605E0000}"/>
    <cellStyle name="Normal 3 2 3 3 3 2" xfId="2344" xr:uid="{00000000-0005-0000-0000-0000615E0000}"/>
    <cellStyle name="Normal 3 2 3 3 3 2 2" xfId="4461" xr:uid="{00000000-0005-0000-0000-0000625E0000}"/>
    <cellStyle name="Normal 3 2 3 3 3 2 2 2" xfId="8883" xr:uid="{00000000-0005-0000-0000-0000635E0000}"/>
    <cellStyle name="Normal 3 2 3 3 3 2 2 2 2" xfId="17704" xr:uid="{00000000-0005-0000-0000-0000645E0000}"/>
    <cellStyle name="Normal 3 2 3 3 3 2 2 3" xfId="13297" xr:uid="{00000000-0005-0000-0000-0000655E0000}"/>
    <cellStyle name="Normal 3 2 3 3 3 2 3" xfId="6678" xr:uid="{00000000-0005-0000-0000-0000665E0000}"/>
    <cellStyle name="Normal 3 2 3 3 3 2 3 2" xfId="15499" xr:uid="{00000000-0005-0000-0000-0000675E0000}"/>
    <cellStyle name="Normal 3 2 3 3 3 2 4" xfId="11092" xr:uid="{00000000-0005-0000-0000-0000685E0000}"/>
    <cellStyle name="Normal 3 2 3 3 3 3" xfId="1795" xr:uid="{00000000-0005-0000-0000-0000695E0000}"/>
    <cellStyle name="Normal 3 2 3 3 3 3 2" xfId="3751" xr:uid="{00000000-0005-0000-0000-00006A5E0000}"/>
    <cellStyle name="Normal 3 2 3 3 3 3 2 2" xfId="8145" xr:uid="{00000000-0005-0000-0000-00006B5E0000}"/>
    <cellStyle name="Normal 3 2 3 3 3 3 2 2 2" xfId="16966" xr:uid="{00000000-0005-0000-0000-00006C5E0000}"/>
    <cellStyle name="Normal 3 2 3 3 3 3 2 3" xfId="12559" xr:uid="{00000000-0005-0000-0000-00006D5E0000}"/>
    <cellStyle name="Normal 3 2 3 3 3 3 3" xfId="5940" xr:uid="{00000000-0005-0000-0000-00006E5E0000}"/>
    <cellStyle name="Normal 3 2 3 3 3 3 3 2" xfId="14761" xr:uid="{00000000-0005-0000-0000-00006F5E0000}"/>
    <cellStyle name="Normal 3 2 3 3 3 3 4" xfId="10354" xr:uid="{00000000-0005-0000-0000-0000705E0000}"/>
    <cellStyle name="Normal 3 2 3 3 3 4" xfId="3014" xr:uid="{00000000-0005-0000-0000-0000715E0000}"/>
    <cellStyle name="Normal 3 2 3 3 3 4 2" xfId="7408" xr:uid="{00000000-0005-0000-0000-0000725E0000}"/>
    <cellStyle name="Normal 3 2 3 3 3 4 2 2" xfId="16229" xr:uid="{00000000-0005-0000-0000-0000735E0000}"/>
    <cellStyle name="Normal 3 2 3 3 3 4 3" xfId="11822" xr:uid="{00000000-0005-0000-0000-0000745E0000}"/>
    <cellStyle name="Normal 3 2 3 3 3 5" xfId="5203" xr:uid="{00000000-0005-0000-0000-0000755E0000}"/>
    <cellStyle name="Normal 3 2 3 3 3 5 2" xfId="14024" xr:uid="{00000000-0005-0000-0000-0000765E0000}"/>
    <cellStyle name="Normal 3 2 3 3 3 6" xfId="9617" xr:uid="{00000000-0005-0000-0000-0000775E0000}"/>
    <cellStyle name="Normal 3 2 3 3 4" xfId="2083" xr:uid="{00000000-0005-0000-0000-0000785E0000}"/>
    <cellStyle name="Normal 3 2 3 3 4 2" xfId="4106" xr:uid="{00000000-0005-0000-0000-0000795E0000}"/>
    <cellStyle name="Normal 3 2 3 3 4 2 2" xfId="8514" xr:uid="{00000000-0005-0000-0000-00007A5E0000}"/>
    <cellStyle name="Normal 3 2 3 3 4 2 2 2" xfId="17335" xr:uid="{00000000-0005-0000-0000-00007B5E0000}"/>
    <cellStyle name="Normal 3 2 3 3 4 2 3" xfId="12928" xr:uid="{00000000-0005-0000-0000-00007C5E0000}"/>
    <cellStyle name="Normal 3 2 3 3 4 3" xfId="6309" xr:uid="{00000000-0005-0000-0000-00007D5E0000}"/>
    <cellStyle name="Normal 3 2 3 3 4 3 2" xfId="15130" xr:uid="{00000000-0005-0000-0000-00007E5E0000}"/>
    <cellStyle name="Normal 3 2 3 3 4 4" xfId="10723" xr:uid="{00000000-0005-0000-0000-00007F5E0000}"/>
    <cellStyle name="Normal 3 2 3 3 5" xfId="1441" xr:uid="{00000000-0005-0000-0000-0000805E0000}"/>
    <cellStyle name="Normal 3 2 3 3 5 2" xfId="3382" xr:uid="{00000000-0005-0000-0000-0000815E0000}"/>
    <cellStyle name="Normal 3 2 3 3 5 2 2" xfId="7776" xr:uid="{00000000-0005-0000-0000-0000825E0000}"/>
    <cellStyle name="Normal 3 2 3 3 5 2 2 2" xfId="16597" xr:uid="{00000000-0005-0000-0000-0000835E0000}"/>
    <cellStyle name="Normal 3 2 3 3 5 2 3" xfId="12190" xr:uid="{00000000-0005-0000-0000-0000845E0000}"/>
    <cellStyle name="Normal 3 2 3 3 5 3" xfId="5571" xr:uid="{00000000-0005-0000-0000-0000855E0000}"/>
    <cellStyle name="Normal 3 2 3 3 5 3 2" xfId="14392" xr:uid="{00000000-0005-0000-0000-0000865E0000}"/>
    <cellStyle name="Normal 3 2 3 3 5 4" xfId="9985" xr:uid="{00000000-0005-0000-0000-0000875E0000}"/>
    <cellStyle name="Normal 3 2 3 3 6" xfId="2646" xr:uid="{00000000-0005-0000-0000-0000885E0000}"/>
    <cellStyle name="Normal 3 2 3 3 6 2" xfId="7039" xr:uid="{00000000-0005-0000-0000-0000895E0000}"/>
    <cellStyle name="Normal 3 2 3 3 6 2 2" xfId="15860" xr:uid="{00000000-0005-0000-0000-00008A5E0000}"/>
    <cellStyle name="Normal 3 2 3 3 6 3" xfId="11453" xr:uid="{00000000-0005-0000-0000-00008B5E0000}"/>
    <cellStyle name="Normal 3 2 3 3 7" xfId="4834" xr:uid="{00000000-0005-0000-0000-00008C5E0000}"/>
    <cellStyle name="Normal 3 2 3 3 7 2" xfId="13655" xr:uid="{00000000-0005-0000-0000-00008D5E0000}"/>
    <cellStyle name="Normal 3 2 3 3 8" xfId="9248" xr:uid="{00000000-0005-0000-0000-00008E5E0000}"/>
    <cellStyle name="Normal 3 2 3 3 9" xfId="28373" xr:uid="{00000000-0005-0000-0000-00008F5E0000}"/>
    <cellStyle name="Normal 3 2 3 4" xfId="731" xr:uid="{00000000-0005-0000-0000-0000905E0000}"/>
    <cellStyle name="Normal 3 2 3 4 2" xfId="1242" xr:uid="{00000000-0005-0000-0000-0000915E0000}"/>
    <cellStyle name="Normal 3 2 3 4 2 2" xfId="2410" xr:uid="{00000000-0005-0000-0000-0000925E0000}"/>
    <cellStyle name="Normal 3 2 3 4 2 2 2" xfId="4554" xr:uid="{00000000-0005-0000-0000-0000935E0000}"/>
    <cellStyle name="Normal 3 2 3 4 2 2 2 2" xfId="8976" xr:uid="{00000000-0005-0000-0000-0000945E0000}"/>
    <cellStyle name="Normal 3 2 3 4 2 2 2 2 2" xfId="17797" xr:uid="{00000000-0005-0000-0000-0000955E0000}"/>
    <cellStyle name="Normal 3 2 3 4 2 2 2 3" xfId="13390" xr:uid="{00000000-0005-0000-0000-0000965E0000}"/>
    <cellStyle name="Normal 3 2 3 4 2 2 3" xfId="6771" xr:uid="{00000000-0005-0000-0000-0000975E0000}"/>
    <cellStyle name="Normal 3 2 3 4 2 2 3 2" xfId="15592" xr:uid="{00000000-0005-0000-0000-0000985E0000}"/>
    <cellStyle name="Normal 3 2 3 4 2 2 4" xfId="11185" xr:uid="{00000000-0005-0000-0000-0000995E0000}"/>
    <cellStyle name="Normal 3 2 3 4 2 3" xfId="1888" xr:uid="{00000000-0005-0000-0000-00009A5E0000}"/>
    <cellStyle name="Normal 3 2 3 4 2 3 2" xfId="3844" xr:uid="{00000000-0005-0000-0000-00009B5E0000}"/>
    <cellStyle name="Normal 3 2 3 4 2 3 2 2" xfId="8238" xr:uid="{00000000-0005-0000-0000-00009C5E0000}"/>
    <cellStyle name="Normal 3 2 3 4 2 3 2 2 2" xfId="17059" xr:uid="{00000000-0005-0000-0000-00009D5E0000}"/>
    <cellStyle name="Normal 3 2 3 4 2 3 2 3" xfId="12652" xr:uid="{00000000-0005-0000-0000-00009E5E0000}"/>
    <cellStyle name="Normal 3 2 3 4 2 3 3" xfId="6033" xr:uid="{00000000-0005-0000-0000-00009F5E0000}"/>
    <cellStyle name="Normal 3 2 3 4 2 3 3 2" xfId="14854" xr:uid="{00000000-0005-0000-0000-0000A05E0000}"/>
    <cellStyle name="Normal 3 2 3 4 2 3 4" xfId="10447" xr:uid="{00000000-0005-0000-0000-0000A15E0000}"/>
    <cellStyle name="Normal 3 2 3 4 2 4" xfId="3107" xr:uid="{00000000-0005-0000-0000-0000A25E0000}"/>
    <cellStyle name="Normal 3 2 3 4 2 4 2" xfId="7501" xr:uid="{00000000-0005-0000-0000-0000A35E0000}"/>
    <cellStyle name="Normal 3 2 3 4 2 4 2 2" xfId="16322" xr:uid="{00000000-0005-0000-0000-0000A45E0000}"/>
    <cellStyle name="Normal 3 2 3 4 2 4 3" xfId="11915" xr:uid="{00000000-0005-0000-0000-0000A55E0000}"/>
    <cellStyle name="Normal 3 2 3 4 2 5" xfId="5296" xr:uid="{00000000-0005-0000-0000-0000A65E0000}"/>
    <cellStyle name="Normal 3 2 3 4 2 5 2" xfId="14117" xr:uid="{00000000-0005-0000-0000-0000A75E0000}"/>
    <cellStyle name="Normal 3 2 3 4 2 6" xfId="9710" xr:uid="{00000000-0005-0000-0000-0000A85E0000}"/>
    <cellStyle name="Normal 3 2 3 4 3" xfId="2149" xr:uid="{00000000-0005-0000-0000-0000A95E0000}"/>
    <cellStyle name="Normal 3 2 3 4 3 2" xfId="4199" xr:uid="{00000000-0005-0000-0000-0000AA5E0000}"/>
    <cellStyle name="Normal 3 2 3 4 3 2 2" xfId="8607" xr:uid="{00000000-0005-0000-0000-0000AB5E0000}"/>
    <cellStyle name="Normal 3 2 3 4 3 2 2 2" xfId="17428" xr:uid="{00000000-0005-0000-0000-0000AC5E0000}"/>
    <cellStyle name="Normal 3 2 3 4 3 2 3" xfId="13021" xr:uid="{00000000-0005-0000-0000-0000AD5E0000}"/>
    <cellStyle name="Normal 3 2 3 4 3 3" xfId="6402" xr:uid="{00000000-0005-0000-0000-0000AE5E0000}"/>
    <cellStyle name="Normal 3 2 3 4 3 3 2" xfId="15223" xr:uid="{00000000-0005-0000-0000-0000AF5E0000}"/>
    <cellStyle name="Normal 3 2 3 4 3 4" xfId="10816" xr:uid="{00000000-0005-0000-0000-0000B05E0000}"/>
    <cellStyle name="Normal 3 2 3 4 4" xfId="1533" xr:uid="{00000000-0005-0000-0000-0000B15E0000}"/>
    <cellStyle name="Normal 3 2 3 4 4 2" xfId="3475" xr:uid="{00000000-0005-0000-0000-0000B25E0000}"/>
    <cellStyle name="Normal 3 2 3 4 4 2 2" xfId="7869" xr:uid="{00000000-0005-0000-0000-0000B35E0000}"/>
    <cellStyle name="Normal 3 2 3 4 4 2 2 2" xfId="16690" xr:uid="{00000000-0005-0000-0000-0000B45E0000}"/>
    <cellStyle name="Normal 3 2 3 4 4 2 3" xfId="12283" xr:uid="{00000000-0005-0000-0000-0000B55E0000}"/>
    <cellStyle name="Normal 3 2 3 4 4 3" xfId="5664" xr:uid="{00000000-0005-0000-0000-0000B65E0000}"/>
    <cellStyle name="Normal 3 2 3 4 4 3 2" xfId="14485" xr:uid="{00000000-0005-0000-0000-0000B75E0000}"/>
    <cellStyle name="Normal 3 2 3 4 4 4" xfId="10078" xr:uid="{00000000-0005-0000-0000-0000B85E0000}"/>
    <cellStyle name="Normal 3 2 3 4 5" xfId="2739" xr:uid="{00000000-0005-0000-0000-0000B95E0000}"/>
    <cellStyle name="Normal 3 2 3 4 5 2" xfId="7132" xr:uid="{00000000-0005-0000-0000-0000BA5E0000}"/>
    <cellStyle name="Normal 3 2 3 4 5 2 2" xfId="15953" xr:uid="{00000000-0005-0000-0000-0000BB5E0000}"/>
    <cellStyle name="Normal 3 2 3 4 5 3" xfId="11546" xr:uid="{00000000-0005-0000-0000-0000BC5E0000}"/>
    <cellStyle name="Normal 3 2 3 4 6" xfId="4927" xr:uid="{00000000-0005-0000-0000-0000BD5E0000}"/>
    <cellStyle name="Normal 3 2 3 4 6 2" xfId="13748" xr:uid="{00000000-0005-0000-0000-0000BE5E0000}"/>
    <cellStyle name="Normal 3 2 3 4 7" xfId="9341" xr:uid="{00000000-0005-0000-0000-0000BF5E0000}"/>
    <cellStyle name="Normal 3 2 3 4 8" xfId="28375" xr:uid="{00000000-0005-0000-0000-0000C05E0000}"/>
    <cellStyle name="Normal 3 2 3 4 9" xfId="29297" xr:uid="{00000000-0005-0000-0000-0000C15E0000}"/>
    <cellStyle name="Normal 3 2 3 5" xfId="1044" xr:uid="{00000000-0005-0000-0000-0000C25E0000}"/>
    <cellStyle name="Normal 3 2 3 5 2" xfId="2279" xr:uid="{00000000-0005-0000-0000-0000C35E0000}"/>
    <cellStyle name="Normal 3 2 3 5 2 2" xfId="4370" xr:uid="{00000000-0005-0000-0000-0000C45E0000}"/>
    <cellStyle name="Normal 3 2 3 5 2 2 2" xfId="8791" xr:uid="{00000000-0005-0000-0000-0000C55E0000}"/>
    <cellStyle name="Normal 3 2 3 5 2 2 2 2" xfId="17612" xr:uid="{00000000-0005-0000-0000-0000C65E0000}"/>
    <cellStyle name="Normal 3 2 3 5 2 2 3" xfId="13205" xr:uid="{00000000-0005-0000-0000-0000C75E0000}"/>
    <cellStyle name="Normal 3 2 3 5 2 3" xfId="6586" xr:uid="{00000000-0005-0000-0000-0000C85E0000}"/>
    <cellStyle name="Normal 3 2 3 5 2 3 2" xfId="15407" xr:uid="{00000000-0005-0000-0000-0000C95E0000}"/>
    <cellStyle name="Normal 3 2 3 5 2 4" xfId="11000" xr:uid="{00000000-0005-0000-0000-0000CA5E0000}"/>
    <cellStyle name="Normal 3 2 3 5 3" xfId="1704" xr:uid="{00000000-0005-0000-0000-0000CB5E0000}"/>
    <cellStyle name="Normal 3 2 3 5 3 2" xfId="3659" xr:uid="{00000000-0005-0000-0000-0000CC5E0000}"/>
    <cellStyle name="Normal 3 2 3 5 3 2 2" xfId="8053" xr:uid="{00000000-0005-0000-0000-0000CD5E0000}"/>
    <cellStyle name="Normal 3 2 3 5 3 2 2 2" xfId="16874" xr:uid="{00000000-0005-0000-0000-0000CE5E0000}"/>
    <cellStyle name="Normal 3 2 3 5 3 2 3" xfId="12467" xr:uid="{00000000-0005-0000-0000-0000CF5E0000}"/>
    <cellStyle name="Normal 3 2 3 5 3 3" xfId="5848" xr:uid="{00000000-0005-0000-0000-0000D05E0000}"/>
    <cellStyle name="Normal 3 2 3 5 3 3 2" xfId="14669" xr:uid="{00000000-0005-0000-0000-0000D15E0000}"/>
    <cellStyle name="Normal 3 2 3 5 3 4" xfId="10262" xr:uid="{00000000-0005-0000-0000-0000D25E0000}"/>
    <cellStyle name="Normal 3 2 3 5 4" xfId="2922" xr:uid="{00000000-0005-0000-0000-0000D35E0000}"/>
    <cellStyle name="Normal 3 2 3 5 4 2" xfId="7316" xr:uid="{00000000-0005-0000-0000-0000D45E0000}"/>
    <cellStyle name="Normal 3 2 3 5 4 2 2" xfId="16137" xr:uid="{00000000-0005-0000-0000-0000D55E0000}"/>
    <cellStyle name="Normal 3 2 3 5 4 3" xfId="11730" xr:uid="{00000000-0005-0000-0000-0000D65E0000}"/>
    <cellStyle name="Normal 3 2 3 5 5" xfId="5111" xr:uid="{00000000-0005-0000-0000-0000D75E0000}"/>
    <cellStyle name="Normal 3 2 3 5 5 2" xfId="13932" xr:uid="{00000000-0005-0000-0000-0000D85E0000}"/>
    <cellStyle name="Normal 3 2 3 5 6" xfId="9525" xr:uid="{00000000-0005-0000-0000-0000D95E0000}"/>
    <cellStyle name="Normal 3 2 3 5 7" xfId="28376" xr:uid="{00000000-0005-0000-0000-0000DA5E0000}"/>
    <cellStyle name="Normal 3 2 3 5 8" xfId="29298" xr:uid="{00000000-0005-0000-0000-0000DB5E0000}"/>
    <cellStyle name="Normal 3 2 3 6" xfId="2044" xr:uid="{00000000-0005-0000-0000-0000DC5E0000}"/>
    <cellStyle name="Normal 3 2 3 6 2" xfId="4015" xr:uid="{00000000-0005-0000-0000-0000DD5E0000}"/>
    <cellStyle name="Normal 3 2 3 6 2 2" xfId="8422" xr:uid="{00000000-0005-0000-0000-0000DE5E0000}"/>
    <cellStyle name="Normal 3 2 3 6 2 2 2" xfId="17243" xr:uid="{00000000-0005-0000-0000-0000DF5E0000}"/>
    <cellStyle name="Normal 3 2 3 6 2 3" xfId="12836" xr:uid="{00000000-0005-0000-0000-0000E05E0000}"/>
    <cellStyle name="Normal 3 2 3 6 3" xfId="6217" xr:uid="{00000000-0005-0000-0000-0000E15E0000}"/>
    <cellStyle name="Normal 3 2 3 6 3 2" xfId="15038" xr:uid="{00000000-0005-0000-0000-0000E25E0000}"/>
    <cellStyle name="Normal 3 2 3 6 4" xfId="10631" xr:uid="{00000000-0005-0000-0000-0000E35E0000}"/>
    <cellStyle name="Normal 3 2 3 7" xfId="1376" xr:uid="{00000000-0005-0000-0000-0000E45E0000}"/>
    <cellStyle name="Normal 3 2 3 7 2" xfId="3290" xr:uid="{00000000-0005-0000-0000-0000E55E0000}"/>
    <cellStyle name="Normal 3 2 3 7 2 2" xfId="7684" xr:uid="{00000000-0005-0000-0000-0000E65E0000}"/>
    <cellStyle name="Normal 3 2 3 7 2 2 2" xfId="16505" xr:uid="{00000000-0005-0000-0000-0000E75E0000}"/>
    <cellStyle name="Normal 3 2 3 7 2 3" xfId="12098" xr:uid="{00000000-0005-0000-0000-0000E85E0000}"/>
    <cellStyle name="Normal 3 2 3 7 3" xfId="5479" xr:uid="{00000000-0005-0000-0000-0000E95E0000}"/>
    <cellStyle name="Normal 3 2 3 7 3 2" xfId="14300" xr:uid="{00000000-0005-0000-0000-0000EA5E0000}"/>
    <cellStyle name="Normal 3 2 3 7 4" xfId="9893" xr:uid="{00000000-0005-0000-0000-0000EB5E0000}"/>
    <cellStyle name="Normal 3 2 3 8" xfId="2555" xr:uid="{00000000-0005-0000-0000-0000EC5E0000}"/>
    <cellStyle name="Normal 3 2 3 8 2" xfId="6947" xr:uid="{00000000-0005-0000-0000-0000ED5E0000}"/>
    <cellStyle name="Normal 3 2 3 8 2 2" xfId="15768" xr:uid="{00000000-0005-0000-0000-0000EE5E0000}"/>
    <cellStyle name="Normal 3 2 3 8 3" xfId="11361" xr:uid="{00000000-0005-0000-0000-0000EF5E0000}"/>
    <cellStyle name="Normal 3 2 3 9" xfId="4742" xr:uid="{00000000-0005-0000-0000-0000F05E0000}"/>
    <cellStyle name="Normal 3 2 3 9 2" xfId="13563" xr:uid="{00000000-0005-0000-0000-0000F15E0000}"/>
    <cellStyle name="Normal 3 2 4" xfId="172" xr:uid="{00000000-0005-0000-0000-0000F25E0000}"/>
    <cellStyle name="Normal 3 2 4 10" xfId="28377" xr:uid="{00000000-0005-0000-0000-0000F35E0000}"/>
    <cellStyle name="Normal 3 2 4 11" xfId="29299" xr:uid="{00000000-0005-0000-0000-0000F45E0000}"/>
    <cellStyle name="Normal 3 2 4 2" xfId="379" xr:uid="{00000000-0005-0000-0000-0000F55E0000}"/>
    <cellStyle name="Normal 3 2 4 2 10" xfId="29300" xr:uid="{00000000-0005-0000-0000-0000F65E0000}"/>
    <cellStyle name="Normal 3 2 4 2 2" xfId="872" xr:uid="{00000000-0005-0000-0000-0000F75E0000}"/>
    <cellStyle name="Normal 3 2 4 2 2 2" xfId="1336" xr:uid="{00000000-0005-0000-0000-0000F85E0000}"/>
    <cellStyle name="Normal 3 2 4 2 2 2 2" xfId="2497" xr:uid="{00000000-0005-0000-0000-0000F95E0000}"/>
    <cellStyle name="Normal 3 2 4 2 2 2 2 2" xfId="4667" xr:uid="{00000000-0005-0000-0000-0000FA5E0000}"/>
    <cellStyle name="Normal 3 2 4 2 2 2 2 2 2" xfId="9090" xr:uid="{00000000-0005-0000-0000-0000FB5E0000}"/>
    <cellStyle name="Normal 3 2 4 2 2 2 2 2 2 2" xfId="17911" xr:uid="{00000000-0005-0000-0000-0000FC5E0000}"/>
    <cellStyle name="Normal 3 2 4 2 2 2 2 2 3" xfId="13504" xr:uid="{00000000-0005-0000-0000-0000FD5E0000}"/>
    <cellStyle name="Normal 3 2 4 2 2 2 2 3" xfId="6885" xr:uid="{00000000-0005-0000-0000-0000FE5E0000}"/>
    <cellStyle name="Normal 3 2 4 2 2 2 2 3 2" xfId="15706" xr:uid="{00000000-0005-0000-0000-0000FF5E0000}"/>
    <cellStyle name="Normal 3 2 4 2 2 2 2 4" xfId="11299" xr:uid="{00000000-0005-0000-0000-0000005F0000}"/>
    <cellStyle name="Normal 3 2 4 2 2 2 3" xfId="2001" xr:uid="{00000000-0005-0000-0000-0000015F0000}"/>
    <cellStyle name="Normal 3 2 4 2 2 2 3 2" xfId="3958" xr:uid="{00000000-0005-0000-0000-0000025F0000}"/>
    <cellStyle name="Normal 3 2 4 2 2 2 3 2 2" xfId="8352" xr:uid="{00000000-0005-0000-0000-0000035F0000}"/>
    <cellStyle name="Normal 3 2 4 2 2 2 3 2 2 2" xfId="17173" xr:uid="{00000000-0005-0000-0000-0000045F0000}"/>
    <cellStyle name="Normal 3 2 4 2 2 2 3 2 3" xfId="12766" xr:uid="{00000000-0005-0000-0000-0000055F0000}"/>
    <cellStyle name="Normal 3 2 4 2 2 2 3 3" xfId="6147" xr:uid="{00000000-0005-0000-0000-0000065F0000}"/>
    <cellStyle name="Normal 3 2 4 2 2 2 3 3 2" xfId="14968" xr:uid="{00000000-0005-0000-0000-0000075F0000}"/>
    <cellStyle name="Normal 3 2 4 2 2 2 3 4" xfId="10561" xr:uid="{00000000-0005-0000-0000-0000085F0000}"/>
    <cellStyle name="Normal 3 2 4 2 2 2 4" xfId="3221" xr:uid="{00000000-0005-0000-0000-0000095F0000}"/>
    <cellStyle name="Normal 3 2 4 2 2 2 4 2" xfId="7615" xr:uid="{00000000-0005-0000-0000-00000A5F0000}"/>
    <cellStyle name="Normal 3 2 4 2 2 2 4 2 2" xfId="16436" xr:uid="{00000000-0005-0000-0000-00000B5F0000}"/>
    <cellStyle name="Normal 3 2 4 2 2 2 4 3" xfId="12029" xr:uid="{00000000-0005-0000-0000-00000C5F0000}"/>
    <cellStyle name="Normal 3 2 4 2 2 2 5" xfId="5410" xr:uid="{00000000-0005-0000-0000-00000D5F0000}"/>
    <cellStyle name="Normal 3 2 4 2 2 2 5 2" xfId="14231" xr:uid="{00000000-0005-0000-0000-00000E5F0000}"/>
    <cellStyle name="Normal 3 2 4 2 2 2 6" xfId="9824" xr:uid="{00000000-0005-0000-0000-00000F5F0000}"/>
    <cellStyle name="Normal 3 2 4 2 2 3" xfId="2236" xr:uid="{00000000-0005-0000-0000-0000105F0000}"/>
    <cellStyle name="Normal 3 2 4 2 2 3 2" xfId="4312" xr:uid="{00000000-0005-0000-0000-0000115F0000}"/>
    <cellStyle name="Normal 3 2 4 2 2 3 2 2" xfId="8721" xr:uid="{00000000-0005-0000-0000-0000125F0000}"/>
    <cellStyle name="Normal 3 2 4 2 2 3 2 2 2" xfId="17542" xr:uid="{00000000-0005-0000-0000-0000135F0000}"/>
    <cellStyle name="Normal 3 2 4 2 2 3 2 3" xfId="13135" xr:uid="{00000000-0005-0000-0000-0000145F0000}"/>
    <cellStyle name="Normal 3 2 4 2 2 3 3" xfId="6516" xr:uid="{00000000-0005-0000-0000-0000155F0000}"/>
    <cellStyle name="Normal 3 2 4 2 2 3 3 2" xfId="15337" xr:uid="{00000000-0005-0000-0000-0000165F0000}"/>
    <cellStyle name="Normal 3 2 4 2 2 3 4" xfId="10930" xr:uid="{00000000-0005-0000-0000-0000175F0000}"/>
    <cellStyle name="Normal 3 2 4 2 2 4" xfId="1646" xr:uid="{00000000-0005-0000-0000-0000185F0000}"/>
    <cellStyle name="Normal 3 2 4 2 2 4 2" xfId="3589" xr:uid="{00000000-0005-0000-0000-0000195F0000}"/>
    <cellStyle name="Normal 3 2 4 2 2 4 2 2" xfId="7983" xr:uid="{00000000-0005-0000-0000-00001A5F0000}"/>
    <cellStyle name="Normal 3 2 4 2 2 4 2 2 2" xfId="16804" xr:uid="{00000000-0005-0000-0000-00001B5F0000}"/>
    <cellStyle name="Normal 3 2 4 2 2 4 2 3" xfId="12397" xr:uid="{00000000-0005-0000-0000-00001C5F0000}"/>
    <cellStyle name="Normal 3 2 4 2 2 4 3" xfId="5778" xr:uid="{00000000-0005-0000-0000-00001D5F0000}"/>
    <cellStyle name="Normal 3 2 4 2 2 4 3 2" xfId="14599" xr:uid="{00000000-0005-0000-0000-00001E5F0000}"/>
    <cellStyle name="Normal 3 2 4 2 2 4 4" xfId="10192" xr:uid="{00000000-0005-0000-0000-00001F5F0000}"/>
    <cellStyle name="Normal 3 2 4 2 2 5" xfId="2852" xr:uid="{00000000-0005-0000-0000-0000205F0000}"/>
    <cellStyle name="Normal 3 2 4 2 2 5 2" xfId="7246" xr:uid="{00000000-0005-0000-0000-0000215F0000}"/>
    <cellStyle name="Normal 3 2 4 2 2 5 2 2" xfId="16067" xr:uid="{00000000-0005-0000-0000-0000225F0000}"/>
    <cellStyle name="Normal 3 2 4 2 2 5 3" xfId="11660" xr:uid="{00000000-0005-0000-0000-0000235F0000}"/>
    <cellStyle name="Normal 3 2 4 2 2 6" xfId="5041" xr:uid="{00000000-0005-0000-0000-0000245F0000}"/>
    <cellStyle name="Normal 3 2 4 2 2 6 2" xfId="13862" xr:uid="{00000000-0005-0000-0000-0000255F0000}"/>
    <cellStyle name="Normal 3 2 4 2 2 7" xfId="9455" xr:uid="{00000000-0005-0000-0000-0000265F0000}"/>
    <cellStyle name="Normal 3 2 4 2 2 8" xfId="28379" xr:uid="{00000000-0005-0000-0000-0000275F0000}"/>
    <cellStyle name="Normal 3 2 4 2 2 9" xfId="29301" xr:uid="{00000000-0005-0000-0000-0000285F0000}"/>
    <cellStyle name="Normal 3 2 4 2 3" xfId="1197" xr:uid="{00000000-0005-0000-0000-0000295F0000}"/>
    <cellStyle name="Normal 3 2 4 2 3 2" xfId="2366" xr:uid="{00000000-0005-0000-0000-00002A5F0000}"/>
    <cellStyle name="Normal 3 2 4 2 3 2 2" xfId="4483" xr:uid="{00000000-0005-0000-0000-00002B5F0000}"/>
    <cellStyle name="Normal 3 2 4 2 3 2 2 2" xfId="8905" xr:uid="{00000000-0005-0000-0000-00002C5F0000}"/>
    <cellStyle name="Normal 3 2 4 2 3 2 2 2 2" xfId="17726" xr:uid="{00000000-0005-0000-0000-00002D5F0000}"/>
    <cellStyle name="Normal 3 2 4 2 3 2 2 3" xfId="13319" xr:uid="{00000000-0005-0000-0000-00002E5F0000}"/>
    <cellStyle name="Normal 3 2 4 2 3 2 3" xfId="6700" xr:uid="{00000000-0005-0000-0000-00002F5F0000}"/>
    <cellStyle name="Normal 3 2 4 2 3 2 3 2" xfId="15521" xr:uid="{00000000-0005-0000-0000-0000305F0000}"/>
    <cellStyle name="Normal 3 2 4 2 3 2 4" xfId="11114" xr:uid="{00000000-0005-0000-0000-0000315F0000}"/>
    <cellStyle name="Normal 3 2 4 2 3 3" xfId="1817" xr:uid="{00000000-0005-0000-0000-0000325F0000}"/>
    <cellStyle name="Normal 3 2 4 2 3 3 2" xfId="3773" xr:uid="{00000000-0005-0000-0000-0000335F0000}"/>
    <cellStyle name="Normal 3 2 4 2 3 3 2 2" xfId="8167" xr:uid="{00000000-0005-0000-0000-0000345F0000}"/>
    <cellStyle name="Normal 3 2 4 2 3 3 2 2 2" xfId="16988" xr:uid="{00000000-0005-0000-0000-0000355F0000}"/>
    <cellStyle name="Normal 3 2 4 2 3 3 2 3" xfId="12581" xr:uid="{00000000-0005-0000-0000-0000365F0000}"/>
    <cellStyle name="Normal 3 2 4 2 3 3 3" xfId="5962" xr:uid="{00000000-0005-0000-0000-0000375F0000}"/>
    <cellStyle name="Normal 3 2 4 2 3 3 3 2" xfId="14783" xr:uid="{00000000-0005-0000-0000-0000385F0000}"/>
    <cellStyle name="Normal 3 2 4 2 3 3 4" xfId="10376" xr:uid="{00000000-0005-0000-0000-0000395F0000}"/>
    <cellStyle name="Normal 3 2 4 2 3 4" xfId="3036" xr:uid="{00000000-0005-0000-0000-00003A5F0000}"/>
    <cellStyle name="Normal 3 2 4 2 3 4 2" xfId="7430" xr:uid="{00000000-0005-0000-0000-00003B5F0000}"/>
    <cellStyle name="Normal 3 2 4 2 3 4 2 2" xfId="16251" xr:uid="{00000000-0005-0000-0000-00003C5F0000}"/>
    <cellStyle name="Normal 3 2 4 2 3 4 3" xfId="11844" xr:uid="{00000000-0005-0000-0000-00003D5F0000}"/>
    <cellStyle name="Normal 3 2 4 2 3 5" xfId="5225" xr:uid="{00000000-0005-0000-0000-00003E5F0000}"/>
    <cellStyle name="Normal 3 2 4 2 3 5 2" xfId="14046" xr:uid="{00000000-0005-0000-0000-00003F5F0000}"/>
    <cellStyle name="Normal 3 2 4 2 3 6" xfId="9639" xr:uid="{00000000-0005-0000-0000-0000405F0000}"/>
    <cellStyle name="Normal 3 2 4 2 4" xfId="2105" xr:uid="{00000000-0005-0000-0000-0000415F0000}"/>
    <cellStyle name="Normal 3 2 4 2 4 2" xfId="4128" xr:uid="{00000000-0005-0000-0000-0000425F0000}"/>
    <cellStyle name="Normal 3 2 4 2 4 2 2" xfId="8536" xr:uid="{00000000-0005-0000-0000-0000435F0000}"/>
    <cellStyle name="Normal 3 2 4 2 4 2 2 2" xfId="17357" xr:uid="{00000000-0005-0000-0000-0000445F0000}"/>
    <cellStyle name="Normal 3 2 4 2 4 2 3" xfId="12950" xr:uid="{00000000-0005-0000-0000-0000455F0000}"/>
    <cellStyle name="Normal 3 2 4 2 4 3" xfId="6331" xr:uid="{00000000-0005-0000-0000-0000465F0000}"/>
    <cellStyle name="Normal 3 2 4 2 4 3 2" xfId="15152" xr:uid="{00000000-0005-0000-0000-0000475F0000}"/>
    <cellStyle name="Normal 3 2 4 2 4 4" xfId="10745" xr:uid="{00000000-0005-0000-0000-0000485F0000}"/>
    <cellStyle name="Normal 3 2 4 2 5" xfId="1463" xr:uid="{00000000-0005-0000-0000-0000495F0000}"/>
    <cellStyle name="Normal 3 2 4 2 5 2" xfId="3404" xr:uid="{00000000-0005-0000-0000-00004A5F0000}"/>
    <cellStyle name="Normal 3 2 4 2 5 2 2" xfId="7798" xr:uid="{00000000-0005-0000-0000-00004B5F0000}"/>
    <cellStyle name="Normal 3 2 4 2 5 2 2 2" xfId="16619" xr:uid="{00000000-0005-0000-0000-00004C5F0000}"/>
    <cellStyle name="Normal 3 2 4 2 5 2 3" xfId="12212" xr:uid="{00000000-0005-0000-0000-00004D5F0000}"/>
    <cellStyle name="Normal 3 2 4 2 5 3" xfId="5593" xr:uid="{00000000-0005-0000-0000-00004E5F0000}"/>
    <cellStyle name="Normal 3 2 4 2 5 3 2" xfId="14414" xr:uid="{00000000-0005-0000-0000-00004F5F0000}"/>
    <cellStyle name="Normal 3 2 4 2 5 4" xfId="10007" xr:uid="{00000000-0005-0000-0000-0000505F0000}"/>
    <cellStyle name="Normal 3 2 4 2 6" xfId="2668" xr:uid="{00000000-0005-0000-0000-0000515F0000}"/>
    <cellStyle name="Normal 3 2 4 2 6 2" xfId="7061" xr:uid="{00000000-0005-0000-0000-0000525F0000}"/>
    <cellStyle name="Normal 3 2 4 2 6 2 2" xfId="15882" xr:uid="{00000000-0005-0000-0000-0000535F0000}"/>
    <cellStyle name="Normal 3 2 4 2 6 3" xfId="11475" xr:uid="{00000000-0005-0000-0000-0000545F0000}"/>
    <cellStyle name="Normal 3 2 4 2 7" xfId="4856" xr:uid="{00000000-0005-0000-0000-0000555F0000}"/>
    <cellStyle name="Normal 3 2 4 2 7 2" xfId="13677" xr:uid="{00000000-0005-0000-0000-0000565F0000}"/>
    <cellStyle name="Normal 3 2 4 2 8" xfId="9270" xr:uid="{00000000-0005-0000-0000-0000575F0000}"/>
    <cellStyle name="Normal 3 2 4 2 9" xfId="28378" xr:uid="{00000000-0005-0000-0000-0000585F0000}"/>
    <cellStyle name="Normal 3 2 4 3" xfId="733" xr:uid="{00000000-0005-0000-0000-0000595F0000}"/>
    <cellStyle name="Normal 3 2 4 3 2" xfId="1106" xr:uid="{00000000-0005-0000-0000-00005A5F0000}"/>
    <cellStyle name="Normal 3 2 4 3 2 2" xfId="2432" xr:uid="{00000000-0005-0000-0000-00005B5F0000}"/>
    <cellStyle name="Normal 3 2 4 3 2 2 2" xfId="4576" xr:uid="{00000000-0005-0000-0000-00005C5F0000}"/>
    <cellStyle name="Normal 3 2 4 3 2 2 2 2" xfId="8998" xr:uid="{00000000-0005-0000-0000-00005D5F0000}"/>
    <cellStyle name="Normal 3 2 4 3 2 2 2 2 2" xfId="17819" xr:uid="{00000000-0005-0000-0000-00005E5F0000}"/>
    <cellStyle name="Normal 3 2 4 3 2 2 2 3" xfId="13412" xr:uid="{00000000-0005-0000-0000-00005F5F0000}"/>
    <cellStyle name="Normal 3 2 4 3 2 2 3" xfId="6793" xr:uid="{00000000-0005-0000-0000-0000605F0000}"/>
    <cellStyle name="Normal 3 2 4 3 2 2 3 2" xfId="15614" xr:uid="{00000000-0005-0000-0000-0000615F0000}"/>
    <cellStyle name="Normal 3 2 4 3 2 2 4" xfId="11207" xr:uid="{00000000-0005-0000-0000-0000625F0000}"/>
    <cellStyle name="Normal 3 2 4 3 2 3" xfId="1910" xr:uid="{00000000-0005-0000-0000-0000635F0000}"/>
    <cellStyle name="Normal 3 2 4 3 2 3 2" xfId="3866" xr:uid="{00000000-0005-0000-0000-0000645F0000}"/>
    <cellStyle name="Normal 3 2 4 3 2 3 2 2" xfId="8260" xr:uid="{00000000-0005-0000-0000-0000655F0000}"/>
    <cellStyle name="Normal 3 2 4 3 2 3 2 2 2" xfId="17081" xr:uid="{00000000-0005-0000-0000-0000665F0000}"/>
    <cellStyle name="Normal 3 2 4 3 2 3 2 3" xfId="12674" xr:uid="{00000000-0005-0000-0000-0000675F0000}"/>
    <cellStyle name="Normal 3 2 4 3 2 3 3" xfId="6055" xr:uid="{00000000-0005-0000-0000-0000685F0000}"/>
    <cellStyle name="Normal 3 2 4 3 2 3 3 2" xfId="14876" xr:uid="{00000000-0005-0000-0000-0000695F0000}"/>
    <cellStyle name="Normal 3 2 4 3 2 3 4" xfId="10469" xr:uid="{00000000-0005-0000-0000-00006A5F0000}"/>
    <cellStyle name="Normal 3 2 4 3 2 4" xfId="3129" xr:uid="{00000000-0005-0000-0000-00006B5F0000}"/>
    <cellStyle name="Normal 3 2 4 3 2 4 2" xfId="7523" xr:uid="{00000000-0005-0000-0000-00006C5F0000}"/>
    <cellStyle name="Normal 3 2 4 3 2 4 2 2" xfId="16344" xr:uid="{00000000-0005-0000-0000-00006D5F0000}"/>
    <cellStyle name="Normal 3 2 4 3 2 4 3" xfId="11937" xr:uid="{00000000-0005-0000-0000-00006E5F0000}"/>
    <cellStyle name="Normal 3 2 4 3 2 5" xfId="5318" xr:uid="{00000000-0005-0000-0000-00006F5F0000}"/>
    <cellStyle name="Normal 3 2 4 3 2 5 2" xfId="14139" xr:uid="{00000000-0005-0000-0000-0000705F0000}"/>
    <cellStyle name="Normal 3 2 4 3 2 6" xfId="9732" xr:uid="{00000000-0005-0000-0000-0000715F0000}"/>
    <cellStyle name="Normal 3 2 4 3 3" xfId="2171" xr:uid="{00000000-0005-0000-0000-0000725F0000}"/>
    <cellStyle name="Normal 3 2 4 3 3 2" xfId="4221" xr:uid="{00000000-0005-0000-0000-0000735F0000}"/>
    <cellStyle name="Normal 3 2 4 3 3 2 2" xfId="8629" xr:uid="{00000000-0005-0000-0000-0000745F0000}"/>
    <cellStyle name="Normal 3 2 4 3 3 2 2 2" xfId="17450" xr:uid="{00000000-0005-0000-0000-0000755F0000}"/>
    <cellStyle name="Normal 3 2 4 3 3 2 3" xfId="13043" xr:uid="{00000000-0005-0000-0000-0000765F0000}"/>
    <cellStyle name="Normal 3 2 4 3 3 3" xfId="6424" xr:uid="{00000000-0005-0000-0000-0000775F0000}"/>
    <cellStyle name="Normal 3 2 4 3 3 3 2" xfId="15245" xr:uid="{00000000-0005-0000-0000-0000785F0000}"/>
    <cellStyle name="Normal 3 2 4 3 3 4" xfId="10838" xr:uid="{00000000-0005-0000-0000-0000795F0000}"/>
    <cellStyle name="Normal 3 2 4 3 4" xfId="1555" xr:uid="{00000000-0005-0000-0000-00007A5F0000}"/>
    <cellStyle name="Normal 3 2 4 3 4 2" xfId="3497" xr:uid="{00000000-0005-0000-0000-00007B5F0000}"/>
    <cellStyle name="Normal 3 2 4 3 4 2 2" xfId="7891" xr:uid="{00000000-0005-0000-0000-00007C5F0000}"/>
    <cellStyle name="Normal 3 2 4 3 4 2 2 2" xfId="16712" xr:uid="{00000000-0005-0000-0000-00007D5F0000}"/>
    <cellStyle name="Normal 3 2 4 3 4 2 3" xfId="12305" xr:uid="{00000000-0005-0000-0000-00007E5F0000}"/>
    <cellStyle name="Normal 3 2 4 3 4 3" xfId="5686" xr:uid="{00000000-0005-0000-0000-00007F5F0000}"/>
    <cellStyle name="Normal 3 2 4 3 4 3 2" xfId="14507" xr:uid="{00000000-0005-0000-0000-0000805F0000}"/>
    <cellStyle name="Normal 3 2 4 3 4 4" xfId="10100" xr:uid="{00000000-0005-0000-0000-0000815F0000}"/>
    <cellStyle name="Normal 3 2 4 3 5" xfId="2761" xr:uid="{00000000-0005-0000-0000-0000825F0000}"/>
    <cellStyle name="Normal 3 2 4 3 5 2" xfId="7154" xr:uid="{00000000-0005-0000-0000-0000835F0000}"/>
    <cellStyle name="Normal 3 2 4 3 5 2 2" xfId="15975" xr:uid="{00000000-0005-0000-0000-0000845F0000}"/>
    <cellStyle name="Normal 3 2 4 3 5 3" xfId="11568" xr:uid="{00000000-0005-0000-0000-0000855F0000}"/>
    <cellStyle name="Normal 3 2 4 3 6" xfId="4949" xr:uid="{00000000-0005-0000-0000-0000865F0000}"/>
    <cellStyle name="Normal 3 2 4 3 6 2" xfId="13770" xr:uid="{00000000-0005-0000-0000-0000875F0000}"/>
    <cellStyle name="Normal 3 2 4 3 7" xfId="9363" xr:uid="{00000000-0005-0000-0000-0000885F0000}"/>
    <cellStyle name="Normal 3 2 4 3 8" xfId="28380" xr:uid="{00000000-0005-0000-0000-0000895F0000}"/>
    <cellStyle name="Normal 3 2 4 3 9" xfId="29302" xr:uid="{00000000-0005-0000-0000-00008A5F0000}"/>
    <cellStyle name="Normal 3 2 4 4" xfId="1252" xr:uid="{00000000-0005-0000-0000-00008B5F0000}"/>
    <cellStyle name="Normal 3 2 4 4 2" xfId="2301" xr:uid="{00000000-0005-0000-0000-00008C5F0000}"/>
    <cellStyle name="Normal 3 2 4 4 2 2" xfId="4392" xr:uid="{00000000-0005-0000-0000-00008D5F0000}"/>
    <cellStyle name="Normal 3 2 4 4 2 2 2" xfId="8813" xr:uid="{00000000-0005-0000-0000-00008E5F0000}"/>
    <cellStyle name="Normal 3 2 4 4 2 2 2 2" xfId="17634" xr:uid="{00000000-0005-0000-0000-00008F5F0000}"/>
    <cellStyle name="Normal 3 2 4 4 2 2 3" xfId="13227" xr:uid="{00000000-0005-0000-0000-0000905F0000}"/>
    <cellStyle name="Normal 3 2 4 4 2 3" xfId="6608" xr:uid="{00000000-0005-0000-0000-0000915F0000}"/>
    <cellStyle name="Normal 3 2 4 4 2 3 2" xfId="15429" xr:uid="{00000000-0005-0000-0000-0000925F0000}"/>
    <cellStyle name="Normal 3 2 4 4 2 4" xfId="11022" xr:uid="{00000000-0005-0000-0000-0000935F0000}"/>
    <cellStyle name="Normal 3 2 4 4 3" xfId="1726" xr:uid="{00000000-0005-0000-0000-0000945F0000}"/>
    <cellStyle name="Normal 3 2 4 4 3 2" xfId="3681" xr:uid="{00000000-0005-0000-0000-0000955F0000}"/>
    <cellStyle name="Normal 3 2 4 4 3 2 2" xfId="8075" xr:uid="{00000000-0005-0000-0000-0000965F0000}"/>
    <cellStyle name="Normal 3 2 4 4 3 2 2 2" xfId="16896" xr:uid="{00000000-0005-0000-0000-0000975F0000}"/>
    <cellStyle name="Normal 3 2 4 4 3 2 3" xfId="12489" xr:uid="{00000000-0005-0000-0000-0000985F0000}"/>
    <cellStyle name="Normal 3 2 4 4 3 3" xfId="5870" xr:uid="{00000000-0005-0000-0000-0000995F0000}"/>
    <cellStyle name="Normal 3 2 4 4 3 3 2" xfId="14691" xr:uid="{00000000-0005-0000-0000-00009A5F0000}"/>
    <cellStyle name="Normal 3 2 4 4 3 4" xfId="10284" xr:uid="{00000000-0005-0000-0000-00009B5F0000}"/>
    <cellStyle name="Normal 3 2 4 4 4" xfId="2944" xr:uid="{00000000-0005-0000-0000-00009C5F0000}"/>
    <cellStyle name="Normal 3 2 4 4 4 2" xfId="7338" xr:uid="{00000000-0005-0000-0000-00009D5F0000}"/>
    <cellStyle name="Normal 3 2 4 4 4 2 2" xfId="16159" xr:uid="{00000000-0005-0000-0000-00009E5F0000}"/>
    <cellStyle name="Normal 3 2 4 4 4 3" xfId="11752" xr:uid="{00000000-0005-0000-0000-00009F5F0000}"/>
    <cellStyle name="Normal 3 2 4 4 5" xfId="5133" xr:uid="{00000000-0005-0000-0000-0000A05F0000}"/>
    <cellStyle name="Normal 3 2 4 4 5 2" xfId="13954" xr:uid="{00000000-0005-0000-0000-0000A15F0000}"/>
    <cellStyle name="Normal 3 2 4 4 6" xfId="9547" xr:uid="{00000000-0005-0000-0000-0000A25F0000}"/>
    <cellStyle name="Normal 3 2 4 5" xfId="2053" xr:uid="{00000000-0005-0000-0000-0000A35F0000}"/>
    <cellStyle name="Normal 3 2 4 5 2" xfId="4037" xr:uid="{00000000-0005-0000-0000-0000A45F0000}"/>
    <cellStyle name="Normal 3 2 4 5 2 2" xfId="8444" xr:uid="{00000000-0005-0000-0000-0000A55F0000}"/>
    <cellStyle name="Normal 3 2 4 5 2 2 2" xfId="17265" xr:uid="{00000000-0005-0000-0000-0000A65F0000}"/>
    <cellStyle name="Normal 3 2 4 5 2 3" xfId="12858" xr:uid="{00000000-0005-0000-0000-0000A75F0000}"/>
    <cellStyle name="Normal 3 2 4 5 3" xfId="6239" xr:uid="{00000000-0005-0000-0000-0000A85F0000}"/>
    <cellStyle name="Normal 3 2 4 5 3 2" xfId="15060" xr:uid="{00000000-0005-0000-0000-0000A95F0000}"/>
    <cellStyle name="Normal 3 2 4 5 4" xfId="10653" xr:uid="{00000000-0005-0000-0000-0000AA5F0000}"/>
    <cellStyle name="Normal 3 2 4 6" xfId="1398" xr:uid="{00000000-0005-0000-0000-0000AB5F0000}"/>
    <cellStyle name="Normal 3 2 4 6 2" xfId="3312" xr:uid="{00000000-0005-0000-0000-0000AC5F0000}"/>
    <cellStyle name="Normal 3 2 4 6 2 2" xfId="7706" xr:uid="{00000000-0005-0000-0000-0000AD5F0000}"/>
    <cellStyle name="Normal 3 2 4 6 2 2 2" xfId="16527" xr:uid="{00000000-0005-0000-0000-0000AE5F0000}"/>
    <cellStyle name="Normal 3 2 4 6 2 3" xfId="12120" xr:uid="{00000000-0005-0000-0000-0000AF5F0000}"/>
    <cellStyle name="Normal 3 2 4 6 3" xfId="5501" xr:uid="{00000000-0005-0000-0000-0000B05F0000}"/>
    <cellStyle name="Normal 3 2 4 6 3 2" xfId="14322" xr:uid="{00000000-0005-0000-0000-0000B15F0000}"/>
    <cellStyle name="Normal 3 2 4 6 4" xfId="9915" xr:uid="{00000000-0005-0000-0000-0000B25F0000}"/>
    <cellStyle name="Normal 3 2 4 7" xfId="2577" xr:uid="{00000000-0005-0000-0000-0000B35F0000}"/>
    <cellStyle name="Normal 3 2 4 7 2" xfId="6969" xr:uid="{00000000-0005-0000-0000-0000B45F0000}"/>
    <cellStyle name="Normal 3 2 4 7 2 2" xfId="15790" xr:uid="{00000000-0005-0000-0000-0000B55F0000}"/>
    <cellStyle name="Normal 3 2 4 7 3" xfId="11383" xr:uid="{00000000-0005-0000-0000-0000B65F0000}"/>
    <cellStyle name="Normal 3 2 4 8" xfId="4764" xr:uid="{00000000-0005-0000-0000-0000B75F0000}"/>
    <cellStyle name="Normal 3 2 4 8 2" xfId="13585" xr:uid="{00000000-0005-0000-0000-0000B85F0000}"/>
    <cellStyle name="Normal 3 2 4 9" xfId="9178" xr:uid="{00000000-0005-0000-0000-0000B95F0000}"/>
    <cellStyle name="Normal 3 2 5" xfId="286" xr:uid="{00000000-0005-0000-0000-0000BA5F0000}"/>
    <cellStyle name="Normal 3 2 5 10" xfId="29303" xr:uid="{00000000-0005-0000-0000-0000BB5F0000}"/>
    <cellStyle name="Normal 3 2 5 2" xfId="779" xr:uid="{00000000-0005-0000-0000-0000BC5F0000}"/>
    <cellStyle name="Normal 3 2 5 2 2" xfId="1185" xr:uid="{00000000-0005-0000-0000-0000BD5F0000}"/>
    <cellStyle name="Normal 3 2 5 2 2 2" xfId="2464" xr:uid="{00000000-0005-0000-0000-0000BE5F0000}"/>
    <cellStyle name="Normal 3 2 5 2 2 2 2" xfId="4620" xr:uid="{00000000-0005-0000-0000-0000BF5F0000}"/>
    <cellStyle name="Normal 3 2 5 2 2 2 2 2" xfId="9043" xr:uid="{00000000-0005-0000-0000-0000C05F0000}"/>
    <cellStyle name="Normal 3 2 5 2 2 2 2 2 2" xfId="17864" xr:uid="{00000000-0005-0000-0000-0000C15F0000}"/>
    <cellStyle name="Normal 3 2 5 2 2 2 2 3" xfId="13457" xr:uid="{00000000-0005-0000-0000-0000C25F0000}"/>
    <cellStyle name="Normal 3 2 5 2 2 2 3" xfId="6838" xr:uid="{00000000-0005-0000-0000-0000C35F0000}"/>
    <cellStyle name="Normal 3 2 5 2 2 2 3 2" xfId="15659" xr:uid="{00000000-0005-0000-0000-0000C45F0000}"/>
    <cellStyle name="Normal 3 2 5 2 2 2 4" xfId="11252" xr:uid="{00000000-0005-0000-0000-0000C55F0000}"/>
    <cellStyle name="Normal 3 2 5 2 2 3" xfId="1954" xr:uid="{00000000-0005-0000-0000-0000C65F0000}"/>
    <cellStyle name="Normal 3 2 5 2 2 3 2" xfId="3911" xr:uid="{00000000-0005-0000-0000-0000C75F0000}"/>
    <cellStyle name="Normal 3 2 5 2 2 3 2 2" xfId="8305" xr:uid="{00000000-0005-0000-0000-0000C85F0000}"/>
    <cellStyle name="Normal 3 2 5 2 2 3 2 2 2" xfId="17126" xr:uid="{00000000-0005-0000-0000-0000C95F0000}"/>
    <cellStyle name="Normal 3 2 5 2 2 3 2 3" xfId="12719" xr:uid="{00000000-0005-0000-0000-0000CA5F0000}"/>
    <cellStyle name="Normal 3 2 5 2 2 3 3" xfId="6100" xr:uid="{00000000-0005-0000-0000-0000CB5F0000}"/>
    <cellStyle name="Normal 3 2 5 2 2 3 3 2" xfId="14921" xr:uid="{00000000-0005-0000-0000-0000CC5F0000}"/>
    <cellStyle name="Normal 3 2 5 2 2 3 4" xfId="10514" xr:uid="{00000000-0005-0000-0000-0000CD5F0000}"/>
    <cellStyle name="Normal 3 2 5 2 2 4" xfId="3174" xr:uid="{00000000-0005-0000-0000-0000CE5F0000}"/>
    <cellStyle name="Normal 3 2 5 2 2 4 2" xfId="7568" xr:uid="{00000000-0005-0000-0000-0000CF5F0000}"/>
    <cellStyle name="Normal 3 2 5 2 2 4 2 2" xfId="16389" xr:uid="{00000000-0005-0000-0000-0000D05F0000}"/>
    <cellStyle name="Normal 3 2 5 2 2 4 3" xfId="11982" xr:uid="{00000000-0005-0000-0000-0000D15F0000}"/>
    <cellStyle name="Normal 3 2 5 2 2 5" xfId="5363" xr:uid="{00000000-0005-0000-0000-0000D25F0000}"/>
    <cellStyle name="Normal 3 2 5 2 2 5 2" xfId="14184" xr:uid="{00000000-0005-0000-0000-0000D35F0000}"/>
    <cellStyle name="Normal 3 2 5 2 2 6" xfId="9777" xr:uid="{00000000-0005-0000-0000-0000D45F0000}"/>
    <cellStyle name="Normal 3 2 5 2 3" xfId="2203" xr:uid="{00000000-0005-0000-0000-0000D55F0000}"/>
    <cellStyle name="Normal 3 2 5 2 3 2" xfId="4265" xr:uid="{00000000-0005-0000-0000-0000D65F0000}"/>
    <cellStyle name="Normal 3 2 5 2 3 2 2" xfId="8674" xr:uid="{00000000-0005-0000-0000-0000D75F0000}"/>
    <cellStyle name="Normal 3 2 5 2 3 2 2 2" xfId="17495" xr:uid="{00000000-0005-0000-0000-0000D85F0000}"/>
    <cellStyle name="Normal 3 2 5 2 3 2 3" xfId="13088" xr:uid="{00000000-0005-0000-0000-0000D95F0000}"/>
    <cellStyle name="Normal 3 2 5 2 3 3" xfId="6469" xr:uid="{00000000-0005-0000-0000-0000DA5F0000}"/>
    <cellStyle name="Normal 3 2 5 2 3 3 2" xfId="15290" xr:uid="{00000000-0005-0000-0000-0000DB5F0000}"/>
    <cellStyle name="Normal 3 2 5 2 3 4" xfId="10883" xr:uid="{00000000-0005-0000-0000-0000DC5F0000}"/>
    <cellStyle name="Normal 3 2 5 2 4" xfId="1599" xr:uid="{00000000-0005-0000-0000-0000DD5F0000}"/>
    <cellStyle name="Normal 3 2 5 2 4 2" xfId="3542" xr:uid="{00000000-0005-0000-0000-0000DE5F0000}"/>
    <cellStyle name="Normal 3 2 5 2 4 2 2" xfId="7936" xr:uid="{00000000-0005-0000-0000-0000DF5F0000}"/>
    <cellStyle name="Normal 3 2 5 2 4 2 2 2" xfId="16757" xr:uid="{00000000-0005-0000-0000-0000E05F0000}"/>
    <cellStyle name="Normal 3 2 5 2 4 2 3" xfId="12350" xr:uid="{00000000-0005-0000-0000-0000E15F0000}"/>
    <cellStyle name="Normal 3 2 5 2 4 3" xfId="5731" xr:uid="{00000000-0005-0000-0000-0000E25F0000}"/>
    <cellStyle name="Normal 3 2 5 2 4 3 2" xfId="14552" xr:uid="{00000000-0005-0000-0000-0000E35F0000}"/>
    <cellStyle name="Normal 3 2 5 2 4 4" xfId="10145" xr:uid="{00000000-0005-0000-0000-0000E45F0000}"/>
    <cellStyle name="Normal 3 2 5 2 5" xfId="2805" xr:uid="{00000000-0005-0000-0000-0000E55F0000}"/>
    <cellStyle name="Normal 3 2 5 2 5 2" xfId="7199" xr:uid="{00000000-0005-0000-0000-0000E65F0000}"/>
    <cellStyle name="Normal 3 2 5 2 5 2 2" xfId="16020" xr:uid="{00000000-0005-0000-0000-0000E75F0000}"/>
    <cellStyle name="Normal 3 2 5 2 5 3" xfId="11613" xr:uid="{00000000-0005-0000-0000-0000E85F0000}"/>
    <cellStyle name="Normal 3 2 5 2 6" xfId="4994" xr:uid="{00000000-0005-0000-0000-0000E95F0000}"/>
    <cellStyle name="Normal 3 2 5 2 6 2" xfId="13815" xr:uid="{00000000-0005-0000-0000-0000EA5F0000}"/>
    <cellStyle name="Normal 3 2 5 2 7" xfId="9408" xr:uid="{00000000-0005-0000-0000-0000EB5F0000}"/>
    <cellStyle name="Normal 3 2 5 2 8" xfId="28382" xr:uid="{00000000-0005-0000-0000-0000EC5F0000}"/>
    <cellStyle name="Normal 3 2 5 2 9" xfId="29304" xr:uid="{00000000-0005-0000-0000-0000ED5F0000}"/>
    <cellStyle name="Normal 3 2 5 3" xfId="1201" xr:uid="{00000000-0005-0000-0000-0000EE5F0000}"/>
    <cellStyle name="Normal 3 2 5 3 2" xfId="2333" xr:uid="{00000000-0005-0000-0000-0000EF5F0000}"/>
    <cellStyle name="Normal 3 2 5 3 2 2" xfId="4436" xr:uid="{00000000-0005-0000-0000-0000F05F0000}"/>
    <cellStyle name="Normal 3 2 5 3 2 2 2" xfId="8858" xr:uid="{00000000-0005-0000-0000-0000F15F0000}"/>
    <cellStyle name="Normal 3 2 5 3 2 2 2 2" xfId="17679" xr:uid="{00000000-0005-0000-0000-0000F25F0000}"/>
    <cellStyle name="Normal 3 2 5 3 2 2 3" xfId="13272" xr:uid="{00000000-0005-0000-0000-0000F35F0000}"/>
    <cellStyle name="Normal 3 2 5 3 2 3" xfId="6653" xr:uid="{00000000-0005-0000-0000-0000F45F0000}"/>
    <cellStyle name="Normal 3 2 5 3 2 3 2" xfId="15474" xr:uid="{00000000-0005-0000-0000-0000F55F0000}"/>
    <cellStyle name="Normal 3 2 5 3 2 4" xfId="11067" xr:uid="{00000000-0005-0000-0000-0000F65F0000}"/>
    <cellStyle name="Normal 3 2 5 3 3" xfId="1770" xr:uid="{00000000-0005-0000-0000-0000F75F0000}"/>
    <cellStyle name="Normal 3 2 5 3 3 2" xfId="3726" xr:uid="{00000000-0005-0000-0000-0000F85F0000}"/>
    <cellStyle name="Normal 3 2 5 3 3 2 2" xfId="8120" xr:uid="{00000000-0005-0000-0000-0000F95F0000}"/>
    <cellStyle name="Normal 3 2 5 3 3 2 2 2" xfId="16941" xr:uid="{00000000-0005-0000-0000-0000FA5F0000}"/>
    <cellStyle name="Normal 3 2 5 3 3 2 3" xfId="12534" xr:uid="{00000000-0005-0000-0000-0000FB5F0000}"/>
    <cellStyle name="Normal 3 2 5 3 3 3" xfId="5915" xr:uid="{00000000-0005-0000-0000-0000FC5F0000}"/>
    <cellStyle name="Normal 3 2 5 3 3 3 2" xfId="14736" xr:uid="{00000000-0005-0000-0000-0000FD5F0000}"/>
    <cellStyle name="Normal 3 2 5 3 3 4" xfId="10329" xr:uid="{00000000-0005-0000-0000-0000FE5F0000}"/>
    <cellStyle name="Normal 3 2 5 3 4" xfId="2989" xr:uid="{00000000-0005-0000-0000-0000FF5F0000}"/>
    <cellStyle name="Normal 3 2 5 3 4 2" xfId="7383" xr:uid="{00000000-0005-0000-0000-000000600000}"/>
    <cellStyle name="Normal 3 2 5 3 4 2 2" xfId="16204" xr:uid="{00000000-0005-0000-0000-000001600000}"/>
    <cellStyle name="Normal 3 2 5 3 4 3" xfId="11797" xr:uid="{00000000-0005-0000-0000-000002600000}"/>
    <cellStyle name="Normal 3 2 5 3 5" xfId="5178" xr:uid="{00000000-0005-0000-0000-000003600000}"/>
    <cellStyle name="Normal 3 2 5 3 5 2" xfId="13999" xr:uid="{00000000-0005-0000-0000-000004600000}"/>
    <cellStyle name="Normal 3 2 5 3 6" xfId="9592" xr:uid="{00000000-0005-0000-0000-000005600000}"/>
    <cellStyle name="Normal 3 2 5 4" xfId="2072" xr:uid="{00000000-0005-0000-0000-000006600000}"/>
    <cellStyle name="Normal 3 2 5 4 2" xfId="4081" xr:uid="{00000000-0005-0000-0000-000007600000}"/>
    <cellStyle name="Normal 3 2 5 4 2 2" xfId="8489" xr:uid="{00000000-0005-0000-0000-000008600000}"/>
    <cellStyle name="Normal 3 2 5 4 2 2 2" xfId="17310" xr:uid="{00000000-0005-0000-0000-000009600000}"/>
    <cellStyle name="Normal 3 2 5 4 2 3" xfId="12903" xr:uid="{00000000-0005-0000-0000-00000A600000}"/>
    <cellStyle name="Normal 3 2 5 4 3" xfId="6284" xr:uid="{00000000-0005-0000-0000-00000B600000}"/>
    <cellStyle name="Normal 3 2 5 4 3 2" xfId="15105" xr:uid="{00000000-0005-0000-0000-00000C600000}"/>
    <cellStyle name="Normal 3 2 5 4 4" xfId="10698" xr:uid="{00000000-0005-0000-0000-00000D600000}"/>
    <cellStyle name="Normal 3 2 5 5" xfId="1430" xr:uid="{00000000-0005-0000-0000-00000E600000}"/>
    <cellStyle name="Normal 3 2 5 5 2" xfId="3357" xr:uid="{00000000-0005-0000-0000-00000F600000}"/>
    <cellStyle name="Normal 3 2 5 5 2 2" xfId="7751" xr:uid="{00000000-0005-0000-0000-000010600000}"/>
    <cellStyle name="Normal 3 2 5 5 2 2 2" xfId="16572" xr:uid="{00000000-0005-0000-0000-000011600000}"/>
    <cellStyle name="Normal 3 2 5 5 2 3" xfId="12165" xr:uid="{00000000-0005-0000-0000-000012600000}"/>
    <cellStyle name="Normal 3 2 5 5 3" xfId="5546" xr:uid="{00000000-0005-0000-0000-000013600000}"/>
    <cellStyle name="Normal 3 2 5 5 3 2" xfId="14367" xr:uid="{00000000-0005-0000-0000-000014600000}"/>
    <cellStyle name="Normal 3 2 5 5 4" xfId="9960" xr:uid="{00000000-0005-0000-0000-000015600000}"/>
    <cellStyle name="Normal 3 2 5 6" xfId="2621" xr:uid="{00000000-0005-0000-0000-000016600000}"/>
    <cellStyle name="Normal 3 2 5 6 2" xfId="7014" xr:uid="{00000000-0005-0000-0000-000017600000}"/>
    <cellStyle name="Normal 3 2 5 6 2 2" xfId="15835" xr:uid="{00000000-0005-0000-0000-000018600000}"/>
    <cellStyle name="Normal 3 2 5 6 3" xfId="11428" xr:uid="{00000000-0005-0000-0000-000019600000}"/>
    <cellStyle name="Normal 3 2 5 7" xfId="4809" xr:uid="{00000000-0005-0000-0000-00001A600000}"/>
    <cellStyle name="Normal 3 2 5 7 2" xfId="13630" xr:uid="{00000000-0005-0000-0000-00001B600000}"/>
    <cellStyle name="Normal 3 2 5 8" xfId="9223" xr:uid="{00000000-0005-0000-0000-00001C600000}"/>
    <cellStyle name="Normal 3 2 5 9" xfId="28381" xr:uid="{00000000-0005-0000-0000-00001D600000}"/>
    <cellStyle name="Normal 3 2 6" xfId="728" xr:uid="{00000000-0005-0000-0000-00001E600000}"/>
    <cellStyle name="Normal 3 2 6 2" xfId="1117" xr:uid="{00000000-0005-0000-0000-00001F600000}"/>
    <cellStyle name="Normal 3 2 6 2 2" xfId="2398" xr:uid="{00000000-0005-0000-0000-000020600000}"/>
    <cellStyle name="Normal 3 2 6 2 2 2" xfId="4528" xr:uid="{00000000-0005-0000-0000-000021600000}"/>
    <cellStyle name="Normal 3 2 6 2 2 2 2" xfId="8950" xr:uid="{00000000-0005-0000-0000-000022600000}"/>
    <cellStyle name="Normal 3 2 6 2 2 2 2 2" xfId="17771" xr:uid="{00000000-0005-0000-0000-000023600000}"/>
    <cellStyle name="Normal 3 2 6 2 2 2 3" xfId="13364" xr:uid="{00000000-0005-0000-0000-000024600000}"/>
    <cellStyle name="Normal 3 2 6 2 2 3" xfId="6745" xr:uid="{00000000-0005-0000-0000-000025600000}"/>
    <cellStyle name="Normal 3 2 6 2 2 3 2" xfId="15566" xr:uid="{00000000-0005-0000-0000-000026600000}"/>
    <cellStyle name="Normal 3 2 6 2 2 4" xfId="11159" xr:uid="{00000000-0005-0000-0000-000027600000}"/>
    <cellStyle name="Normal 3 2 6 2 3" xfId="1862" xr:uid="{00000000-0005-0000-0000-000028600000}"/>
    <cellStyle name="Normal 3 2 6 2 3 2" xfId="3818" xr:uid="{00000000-0005-0000-0000-000029600000}"/>
    <cellStyle name="Normal 3 2 6 2 3 2 2" xfId="8212" xr:uid="{00000000-0005-0000-0000-00002A600000}"/>
    <cellStyle name="Normal 3 2 6 2 3 2 2 2" xfId="17033" xr:uid="{00000000-0005-0000-0000-00002B600000}"/>
    <cellStyle name="Normal 3 2 6 2 3 2 3" xfId="12626" xr:uid="{00000000-0005-0000-0000-00002C600000}"/>
    <cellStyle name="Normal 3 2 6 2 3 3" xfId="6007" xr:uid="{00000000-0005-0000-0000-00002D600000}"/>
    <cellStyle name="Normal 3 2 6 2 3 3 2" xfId="14828" xr:uid="{00000000-0005-0000-0000-00002E600000}"/>
    <cellStyle name="Normal 3 2 6 2 3 4" xfId="10421" xr:uid="{00000000-0005-0000-0000-00002F600000}"/>
    <cellStyle name="Normal 3 2 6 2 4" xfId="3081" xr:uid="{00000000-0005-0000-0000-000030600000}"/>
    <cellStyle name="Normal 3 2 6 2 4 2" xfId="7475" xr:uid="{00000000-0005-0000-0000-000031600000}"/>
    <cellStyle name="Normal 3 2 6 2 4 2 2" xfId="16296" xr:uid="{00000000-0005-0000-0000-000032600000}"/>
    <cellStyle name="Normal 3 2 6 2 4 3" xfId="11889" xr:uid="{00000000-0005-0000-0000-000033600000}"/>
    <cellStyle name="Normal 3 2 6 2 5" xfId="5270" xr:uid="{00000000-0005-0000-0000-000034600000}"/>
    <cellStyle name="Normal 3 2 6 2 5 2" xfId="14091" xr:uid="{00000000-0005-0000-0000-000035600000}"/>
    <cellStyle name="Normal 3 2 6 2 6" xfId="9684" xr:uid="{00000000-0005-0000-0000-000036600000}"/>
    <cellStyle name="Normal 3 2 6 3" xfId="2137" xr:uid="{00000000-0005-0000-0000-000037600000}"/>
    <cellStyle name="Normal 3 2 6 3 2" xfId="4173" xr:uid="{00000000-0005-0000-0000-000038600000}"/>
    <cellStyle name="Normal 3 2 6 3 2 2" xfId="8581" xr:uid="{00000000-0005-0000-0000-000039600000}"/>
    <cellStyle name="Normal 3 2 6 3 2 2 2" xfId="17402" xr:uid="{00000000-0005-0000-0000-00003A600000}"/>
    <cellStyle name="Normal 3 2 6 3 2 3" xfId="12995" xr:uid="{00000000-0005-0000-0000-00003B600000}"/>
    <cellStyle name="Normal 3 2 6 3 3" xfId="6376" xr:uid="{00000000-0005-0000-0000-00003C600000}"/>
    <cellStyle name="Normal 3 2 6 3 3 2" xfId="15197" xr:uid="{00000000-0005-0000-0000-00003D600000}"/>
    <cellStyle name="Normal 3 2 6 3 4" xfId="10790" xr:uid="{00000000-0005-0000-0000-00003E600000}"/>
    <cellStyle name="Normal 3 2 6 4" xfId="1507" xr:uid="{00000000-0005-0000-0000-00003F600000}"/>
    <cellStyle name="Normal 3 2 6 4 2" xfId="3449" xr:uid="{00000000-0005-0000-0000-000040600000}"/>
    <cellStyle name="Normal 3 2 6 4 2 2" xfId="7843" xr:uid="{00000000-0005-0000-0000-000041600000}"/>
    <cellStyle name="Normal 3 2 6 4 2 2 2" xfId="16664" xr:uid="{00000000-0005-0000-0000-000042600000}"/>
    <cellStyle name="Normal 3 2 6 4 2 3" xfId="12257" xr:uid="{00000000-0005-0000-0000-000043600000}"/>
    <cellStyle name="Normal 3 2 6 4 3" xfId="5638" xr:uid="{00000000-0005-0000-0000-000044600000}"/>
    <cellStyle name="Normal 3 2 6 4 3 2" xfId="14459" xr:uid="{00000000-0005-0000-0000-000045600000}"/>
    <cellStyle name="Normal 3 2 6 4 4" xfId="10052" xr:uid="{00000000-0005-0000-0000-000046600000}"/>
    <cellStyle name="Normal 3 2 6 5" xfId="2713" xr:uid="{00000000-0005-0000-0000-000047600000}"/>
    <cellStyle name="Normal 3 2 6 5 2" xfId="7106" xr:uid="{00000000-0005-0000-0000-000048600000}"/>
    <cellStyle name="Normal 3 2 6 5 2 2" xfId="15927" xr:uid="{00000000-0005-0000-0000-000049600000}"/>
    <cellStyle name="Normal 3 2 6 5 3" xfId="11520" xr:uid="{00000000-0005-0000-0000-00004A600000}"/>
    <cellStyle name="Normal 3 2 6 6" xfId="4901" xr:uid="{00000000-0005-0000-0000-00004B600000}"/>
    <cellStyle name="Normal 3 2 6 6 2" xfId="13722" xr:uid="{00000000-0005-0000-0000-00004C600000}"/>
    <cellStyle name="Normal 3 2 6 7" xfId="9315" xr:uid="{00000000-0005-0000-0000-00004D600000}"/>
    <cellStyle name="Normal 3 2 6 8" xfId="28383" xr:uid="{00000000-0005-0000-0000-00004E600000}"/>
    <cellStyle name="Normal 3 2 6 9" xfId="29305" xr:uid="{00000000-0005-0000-0000-00004F600000}"/>
    <cellStyle name="Normal 3 2 7" xfId="984" xr:uid="{00000000-0005-0000-0000-000050600000}"/>
    <cellStyle name="Normal 3 2 7 2" xfId="2266" xr:uid="{00000000-0005-0000-0000-000051600000}"/>
    <cellStyle name="Normal 3 2 7 2 2" xfId="4344" xr:uid="{00000000-0005-0000-0000-000052600000}"/>
    <cellStyle name="Normal 3 2 7 2 2 2" xfId="8765" xr:uid="{00000000-0005-0000-0000-000053600000}"/>
    <cellStyle name="Normal 3 2 7 2 2 2 2" xfId="17586" xr:uid="{00000000-0005-0000-0000-000054600000}"/>
    <cellStyle name="Normal 3 2 7 2 2 3" xfId="13179" xr:uid="{00000000-0005-0000-0000-000055600000}"/>
    <cellStyle name="Normal 3 2 7 2 3" xfId="6560" xr:uid="{00000000-0005-0000-0000-000056600000}"/>
    <cellStyle name="Normal 3 2 7 2 3 2" xfId="15381" xr:uid="{00000000-0005-0000-0000-000057600000}"/>
    <cellStyle name="Normal 3 2 7 2 4" xfId="10974" xr:uid="{00000000-0005-0000-0000-000058600000}"/>
    <cellStyle name="Normal 3 2 7 3" xfId="1678" xr:uid="{00000000-0005-0000-0000-000059600000}"/>
    <cellStyle name="Normal 3 2 7 3 2" xfId="3633" xr:uid="{00000000-0005-0000-0000-00005A600000}"/>
    <cellStyle name="Normal 3 2 7 3 2 2" xfId="8027" xr:uid="{00000000-0005-0000-0000-00005B600000}"/>
    <cellStyle name="Normal 3 2 7 3 2 2 2" xfId="16848" xr:uid="{00000000-0005-0000-0000-00005C600000}"/>
    <cellStyle name="Normal 3 2 7 3 2 3" xfId="12441" xr:uid="{00000000-0005-0000-0000-00005D600000}"/>
    <cellStyle name="Normal 3 2 7 3 3" xfId="5822" xr:uid="{00000000-0005-0000-0000-00005E600000}"/>
    <cellStyle name="Normal 3 2 7 3 3 2" xfId="14643" xr:uid="{00000000-0005-0000-0000-00005F600000}"/>
    <cellStyle name="Normal 3 2 7 3 4" xfId="10236" xr:uid="{00000000-0005-0000-0000-000060600000}"/>
    <cellStyle name="Normal 3 2 7 4" xfId="2896" xr:uid="{00000000-0005-0000-0000-000061600000}"/>
    <cellStyle name="Normal 3 2 7 4 2" xfId="7290" xr:uid="{00000000-0005-0000-0000-000062600000}"/>
    <cellStyle name="Normal 3 2 7 4 2 2" xfId="16111" xr:uid="{00000000-0005-0000-0000-000063600000}"/>
    <cellStyle name="Normal 3 2 7 4 3" xfId="11704" xr:uid="{00000000-0005-0000-0000-000064600000}"/>
    <cellStyle name="Normal 3 2 7 5" xfId="5085" xr:uid="{00000000-0005-0000-0000-000065600000}"/>
    <cellStyle name="Normal 3 2 7 5 2" xfId="13906" xr:uid="{00000000-0005-0000-0000-000066600000}"/>
    <cellStyle name="Normal 3 2 7 6" xfId="9499" xr:uid="{00000000-0005-0000-0000-000067600000}"/>
    <cellStyle name="Normal 3 2 7 7" xfId="28384" xr:uid="{00000000-0005-0000-0000-000068600000}"/>
    <cellStyle name="Normal 3 2 7 8" xfId="29306" xr:uid="{00000000-0005-0000-0000-000069600000}"/>
    <cellStyle name="Normal 3 2 8" xfId="2032" xr:uid="{00000000-0005-0000-0000-00006A600000}"/>
    <cellStyle name="Normal 3 2 8 2" xfId="3990" xr:uid="{00000000-0005-0000-0000-00006B600000}"/>
    <cellStyle name="Normal 3 2 8 2 2" xfId="8396" xr:uid="{00000000-0005-0000-0000-00006C600000}"/>
    <cellStyle name="Normal 3 2 8 2 2 2" xfId="17217" xr:uid="{00000000-0005-0000-0000-00006D600000}"/>
    <cellStyle name="Normal 3 2 8 2 3" xfId="12810" xr:uid="{00000000-0005-0000-0000-00006E600000}"/>
    <cellStyle name="Normal 3 2 8 3" xfId="6191" xr:uid="{00000000-0005-0000-0000-00006F600000}"/>
    <cellStyle name="Normal 3 2 8 3 2" xfId="15012" xr:uid="{00000000-0005-0000-0000-000070600000}"/>
    <cellStyle name="Normal 3 2 8 4" xfId="10605" xr:uid="{00000000-0005-0000-0000-000071600000}"/>
    <cellStyle name="Normal 3 2 9" xfId="1352" xr:uid="{00000000-0005-0000-0000-000072600000}"/>
    <cellStyle name="Normal 3 2 9 2" xfId="3252" xr:uid="{00000000-0005-0000-0000-000073600000}"/>
    <cellStyle name="Normal 3 2 9 2 2" xfId="7646" xr:uid="{00000000-0005-0000-0000-000074600000}"/>
    <cellStyle name="Normal 3 2 9 2 2 2" xfId="16467" xr:uid="{00000000-0005-0000-0000-000075600000}"/>
    <cellStyle name="Normal 3 2 9 2 3" xfId="12060" xr:uid="{00000000-0005-0000-0000-000076600000}"/>
    <cellStyle name="Normal 3 2 9 3" xfId="5441" xr:uid="{00000000-0005-0000-0000-000077600000}"/>
    <cellStyle name="Normal 3 2 9 3 2" xfId="14262" xr:uid="{00000000-0005-0000-0000-000078600000}"/>
    <cellStyle name="Normal 3 2 9 4" xfId="9855" xr:uid="{00000000-0005-0000-0000-000079600000}"/>
    <cellStyle name="Normal 3 3" xfId="83" xr:uid="{00000000-0005-0000-0000-00007A600000}"/>
    <cellStyle name="Normal 3 3 10" xfId="9133" xr:uid="{00000000-0005-0000-0000-00007B600000}"/>
    <cellStyle name="Normal 3 3 11" xfId="18011" xr:uid="{00000000-0005-0000-0000-00007C600000}"/>
    <cellStyle name="Normal 3 3 12" xfId="28385" xr:uid="{00000000-0005-0000-0000-00007D600000}"/>
    <cellStyle name="Normal 3 3 13" xfId="29307" xr:uid="{00000000-0005-0000-0000-00007E600000}"/>
    <cellStyle name="Normal 3 3 2" xfId="117" xr:uid="{00000000-0005-0000-0000-00007F600000}"/>
    <cellStyle name="Normal 3 3 2 10" xfId="28386" xr:uid="{00000000-0005-0000-0000-000080600000}"/>
    <cellStyle name="Normal 3 3 2 11" xfId="29308" xr:uid="{00000000-0005-0000-0000-000081600000}"/>
    <cellStyle name="Normal 3 3 2 2" xfId="216" xr:uid="{00000000-0005-0000-0000-000082600000}"/>
    <cellStyle name="Normal 3 3 2 2 10" xfId="29309" xr:uid="{00000000-0005-0000-0000-000083600000}"/>
    <cellStyle name="Normal 3 3 2 2 2" xfId="423" xr:uid="{00000000-0005-0000-0000-000084600000}"/>
    <cellStyle name="Normal 3 3 2 2 2 2" xfId="916" xr:uid="{00000000-0005-0000-0000-000085600000}"/>
    <cellStyle name="Normal 3 3 2 2 2 2 2" xfId="2499" xr:uid="{00000000-0005-0000-0000-000086600000}"/>
    <cellStyle name="Normal 3 3 2 2 2 2 2 2" xfId="4670" xr:uid="{00000000-0005-0000-0000-000087600000}"/>
    <cellStyle name="Normal 3 3 2 2 2 2 2 2 2" xfId="9093" xr:uid="{00000000-0005-0000-0000-000088600000}"/>
    <cellStyle name="Normal 3 3 2 2 2 2 2 2 2 2" xfId="17914" xr:uid="{00000000-0005-0000-0000-000089600000}"/>
    <cellStyle name="Normal 3 3 2 2 2 2 2 2 3" xfId="13507" xr:uid="{00000000-0005-0000-0000-00008A600000}"/>
    <cellStyle name="Normal 3 3 2 2 2 2 2 3" xfId="6888" xr:uid="{00000000-0005-0000-0000-00008B600000}"/>
    <cellStyle name="Normal 3 3 2 2 2 2 2 3 2" xfId="15709" xr:uid="{00000000-0005-0000-0000-00008C600000}"/>
    <cellStyle name="Normal 3 3 2 2 2 2 2 4" xfId="11302" xr:uid="{00000000-0005-0000-0000-00008D600000}"/>
    <cellStyle name="Normal 3 3 2 2 2 2 3" xfId="2004" xr:uid="{00000000-0005-0000-0000-00008E600000}"/>
    <cellStyle name="Normal 3 3 2 2 2 2 3 2" xfId="3961" xr:uid="{00000000-0005-0000-0000-00008F600000}"/>
    <cellStyle name="Normal 3 3 2 2 2 2 3 2 2" xfId="8355" xr:uid="{00000000-0005-0000-0000-000090600000}"/>
    <cellStyle name="Normal 3 3 2 2 2 2 3 2 2 2" xfId="17176" xr:uid="{00000000-0005-0000-0000-000091600000}"/>
    <cellStyle name="Normal 3 3 2 2 2 2 3 2 3" xfId="12769" xr:uid="{00000000-0005-0000-0000-000092600000}"/>
    <cellStyle name="Normal 3 3 2 2 2 2 3 3" xfId="6150" xr:uid="{00000000-0005-0000-0000-000093600000}"/>
    <cellStyle name="Normal 3 3 2 2 2 2 3 3 2" xfId="14971" xr:uid="{00000000-0005-0000-0000-000094600000}"/>
    <cellStyle name="Normal 3 3 2 2 2 2 3 4" xfId="10564" xr:uid="{00000000-0005-0000-0000-000095600000}"/>
    <cellStyle name="Normal 3 3 2 2 2 2 4" xfId="3224" xr:uid="{00000000-0005-0000-0000-000096600000}"/>
    <cellStyle name="Normal 3 3 2 2 2 2 4 2" xfId="7618" xr:uid="{00000000-0005-0000-0000-000097600000}"/>
    <cellStyle name="Normal 3 3 2 2 2 2 4 2 2" xfId="16439" xr:uid="{00000000-0005-0000-0000-000098600000}"/>
    <cellStyle name="Normal 3 3 2 2 2 2 4 3" xfId="12032" xr:uid="{00000000-0005-0000-0000-000099600000}"/>
    <cellStyle name="Normal 3 3 2 2 2 2 5" xfId="5413" xr:uid="{00000000-0005-0000-0000-00009A600000}"/>
    <cellStyle name="Normal 3 3 2 2 2 2 5 2" xfId="14234" xr:uid="{00000000-0005-0000-0000-00009B600000}"/>
    <cellStyle name="Normal 3 3 2 2 2 2 6" xfId="9827" xr:uid="{00000000-0005-0000-0000-00009C600000}"/>
    <cellStyle name="Normal 3 3 2 2 2 2 7" xfId="28389" xr:uid="{00000000-0005-0000-0000-00009D600000}"/>
    <cellStyle name="Normal 3 3 2 2 2 2 8" xfId="29311" xr:uid="{00000000-0005-0000-0000-00009E600000}"/>
    <cellStyle name="Normal 3 3 2 2 2 3" xfId="2238" xr:uid="{00000000-0005-0000-0000-00009F600000}"/>
    <cellStyle name="Normal 3 3 2 2 2 3 2" xfId="4315" xr:uid="{00000000-0005-0000-0000-0000A0600000}"/>
    <cellStyle name="Normal 3 3 2 2 2 3 2 2" xfId="8724" xr:uid="{00000000-0005-0000-0000-0000A1600000}"/>
    <cellStyle name="Normal 3 3 2 2 2 3 2 2 2" xfId="17545" xr:uid="{00000000-0005-0000-0000-0000A2600000}"/>
    <cellStyle name="Normal 3 3 2 2 2 3 2 3" xfId="13138" xr:uid="{00000000-0005-0000-0000-0000A3600000}"/>
    <cellStyle name="Normal 3 3 2 2 2 3 3" xfId="6519" xr:uid="{00000000-0005-0000-0000-0000A4600000}"/>
    <cellStyle name="Normal 3 3 2 2 2 3 3 2" xfId="15340" xr:uid="{00000000-0005-0000-0000-0000A5600000}"/>
    <cellStyle name="Normal 3 3 2 2 2 3 4" xfId="10933" xr:uid="{00000000-0005-0000-0000-0000A6600000}"/>
    <cellStyle name="Normal 3 3 2 2 2 4" xfId="1649" xr:uid="{00000000-0005-0000-0000-0000A7600000}"/>
    <cellStyle name="Normal 3 3 2 2 2 4 2" xfId="3592" xr:uid="{00000000-0005-0000-0000-0000A8600000}"/>
    <cellStyle name="Normal 3 3 2 2 2 4 2 2" xfId="7986" xr:uid="{00000000-0005-0000-0000-0000A9600000}"/>
    <cellStyle name="Normal 3 3 2 2 2 4 2 2 2" xfId="16807" xr:uid="{00000000-0005-0000-0000-0000AA600000}"/>
    <cellStyle name="Normal 3 3 2 2 2 4 2 3" xfId="12400" xr:uid="{00000000-0005-0000-0000-0000AB600000}"/>
    <cellStyle name="Normal 3 3 2 2 2 4 3" xfId="5781" xr:uid="{00000000-0005-0000-0000-0000AC600000}"/>
    <cellStyle name="Normal 3 3 2 2 2 4 3 2" xfId="14602" xr:uid="{00000000-0005-0000-0000-0000AD600000}"/>
    <cellStyle name="Normal 3 3 2 2 2 4 4" xfId="10195" xr:uid="{00000000-0005-0000-0000-0000AE600000}"/>
    <cellStyle name="Normal 3 3 2 2 2 5" xfId="2855" xr:uid="{00000000-0005-0000-0000-0000AF600000}"/>
    <cellStyle name="Normal 3 3 2 2 2 5 2" xfId="7249" xr:uid="{00000000-0005-0000-0000-0000B0600000}"/>
    <cellStyle name="Normal 3 3 2 2 2 5 2 2" xfId="16070" xr:uid="{00000000-0005-0000-0000-0000B1600000}"/>
    <cellStyle name="Normal 3 3 2 2 2 5 3" xfId="11663" xr:uid="{00000000-0005-0000-0000-0000B2600000}"/>
    <cellStyle name="Normal 3 3 2 2 2 6" xfId="5044" xr:uid="{00000000-0005-0000-0000-0000B3600000}"/>
    <cellStyle name="Normal 3 3 2 2 2 6 2" xfId="13865" xr:uid="{00000000-0005-0000-0000-0000B4600000}"/>
    <cellStyle name="Normal 3 3 2 2 2 7" xfId="9458" xr:uid="{00000000-0005-0000-0000-0000B5600000}"/>
    <cellStyle name="Normal 3 3 2 2 2 8" xfId="28388" xr:uid="{00000000-0005-0000-0000-0000B6600000}"/>
    <cellStyle name="Normal 3 3 2 2 2 9" xfId="29310" xr:uid="{00000000-0005-0000-0000-0000B7600000}"/>
    <cellStyle name="Normal 3 3 2 2 3" xfId="736" xr:uid="{00000000-0005-0000-0000-0000B8600000}"/>
    <cellStyle name="Normal 3 3 2 2 3 2" xfId="2368" xr:uid="{00000000-0005-0000-0000-0000B9600000}"/>
    <cellStyle name="Normal 3 3 2 2 3 2 2" xfId="4486" xr:uid="{00000000-0005-0000-0000-0000BA600000}"/>
    <cellStyle name="Normal 3 3 2 2 3 2 2 2" xfId="8908" xr:uid="{00000000-0005-0000-0000-0000BB600000}"/>
    <cellStyle name="Normal 3 3 2 2 3 2 2 2 2" xfId="17729" xr:uid="{00000000-0005-0000-0000-0000BC600000}"/>
    <cellStyle name="Normal 3 3 2 2 3 2 2 3" xfId="13322" xr:uid="{00000000-0005-0000-0000-0000BD600000}"/>
    <cellStyle name="Normal 3 3 2 2 3 2 3" xfId="6703" xr:uid="{00000000-0005-0000-0000-0000BE600000}"/>
    <cellStyle name="Normal 3 3 2 2 3 2 3 2" xfId="15524" xr:uid="{00000000-0005-0000-0000-0000BF600000}"/>
    <cellStyle name="Normal 3 3 2 2 3 2 4" xfId="11117" xr:uid="{00000000-0005-0000-0000-0000C0600000}"/>
    <cellStyle name="Normal 3 3 2 2 3 3" xfId="1820" xr:uid="{00000000-0005-0000-0000-0000C1600000}"/>
    <cellStyle name="Normal 3 3 2 2 3 3 2" xfId="3776" xr:uid="{00000000-0005-0000-0000-0000C2600000}"/>
    <cellStyle name="Normal 3 3 2 2 3 3 2 2" xfId="8170" xr:uid="{00000000-0005-0000-0000-0000C3600000}"/>
    <cellStyle name="Normal 3 3 2 2 3 3 2 2 2" xfId="16991" xr:uid="{00000000-0005-0000-0000-0000C4600000}"/>
    <cellStyle name="Normal 3 3 2 2 3 3 2 3" xfId="12584" xr:uid="{00000000-0005-0000-0000-0000C5600000}"/>
    <cellStyle name="Normal 3 3 2 2 3 3 3" xfId="5965" xr:uid="{00000000-0005-0000-0000-0000C6600000}"/>
    <cellStyle name="Normal 3 3 2 2 3 3 3 2" xfId="14786" xr:uid="{00000000-0005-0000-0000-0000C7600000}"/>
    <cellStyle name="Normal 3 3 2 2 3 3 4" xfId="10379" xr:uid="{00000000-0005-0000-0000-0000C8600000}"/>
    <cellStyle name="Normal 3 3 2 2 3 4" xfId="3039" xr:uid="{00000000-0005-0000-0000-0000C9600000}"/>
    <cellStyle name="Normal 3 3 2 2 3 4 2" xfId="7433" xr:uid="{00000000-0005-0000-0000-0000CA600000}"/>
    <cellStyle name="Normal 3 3 2 2 3 4 2 2" xfId="16254" xr:uid="{00000000-0005-0000-0000-0000CB600000}"/>
    <cellStyle name="Normal 3 3 2 2 3 4 3" xfId="11847" xr:uid="{00000000-0005-0000-0000-0000CC600000}"/>
    <cellStyle name="Normal 3 3 2 2 3 5" xfId="5228" xr:uid="{00000000-0005-0000-0000-0000CD600000}"/>
    <cellStyle name="Normal 3 3 2 2 3 5 2" xfId="14049" xr:uid="{00000000-0005-0000-0000-0000CE600000}"/>
    <cellStyle name="Normal 3 3 2 2 3 6" xfId="9642" xr:uid="{00000000-0005-0000-0000-0000CF600000}"/>
    <cellStyle name="Normal 3 3 2 2 3 7" xfId="28390" xr:uid="{00000000-0005-0000-0000-0000D0600000}"/>
    <cellStyle name="Normal 3 3 2 2 3 8" xfId="29312" xr:uid="{00000000-0005-0000-0000-0000D1600000}"/>
    <cellStyle name="Normal 3 3 2 2 4" xfId="2107" xr:uid="{00000000-0005-0000-0000-0000D2600000}"/>
    <cellStyle name="Normal 3 3 2 2 4 2" xfId="4131" xr:uid="{00000000-0005-0000-0000-0000D3600000}"/>
    <cellStyle name="Normal 3 3 2 2 4 2 2" xfId="8539" xr:uid="{00000000-0005-0000-0000-0000D4600000}"/>
    <cellStyle name="Normal 3 3 2 2 4 2 2 2" xfId="17360" xr:uid="{00000000-0005-0000-0000-0000D5600000}"/>
    <cellStyle name="Normal 3 3 2 2 4 2 3" xfId="12953" xr:uid="{00000000-0005-0000-0000-0000D6600000}"/>
    <cellStyle name="Normal 3 3 2 2 4 3" xfId="6334" xr:uid="{00000000-0005-0000-0000-0000D7600000}"/>
    <cellStyle name="Normal 3 3 2 2 4 3 2" xfId="15155" xr:uid="{00000000-0005-0000-0000-0000D8600000}"/>
    <cellStyle name="Normal 3 3 2 2 4 4" xfId="10748" xr:uid="{00000000-0005-0000-0000-0000D9600000}"/>
    <cellStyle name="Normal 3 3 2 2 5" xfId="1465" xr:uid="{00000000-0005-0000-0000-0000DA600000}"/>
    <cellStyle name="Normal 3 3 2 2 5 2" xfId="3407" xr:uid="{00000000-0005-0000-0000-0000DB600000}"/>
    <cellStyle name="Normal 3 3 2 2 5 2 2" xfId="7801" xr:uid="{00000000-0005-0000-0000-0000DC600000}"/>
    <cellStyle name="Normal 3 3 2 2 5 2 2 2" xfId="16622" xr:uid="{00000000-0005-0000-0000-0000DD600000}"/>
    <cellStyle name="Normal 3 3 2 2 5 2 3" xfId="12215" xr:uid="{00000000-0005-0000-0000-0000DE600000}"/>
    <cellStyle name="Normal 3 3 2 2 5 3" xfId="5596" xr:uid="{00000000-0005-0000-0000-0000DF600000}"/>
    <cellStyle name="Normal 3 3 2 2 5 3 2" xfId="14417" xr:uid="{00000000-0005-0000-0000-0000E0600000}"/>
    <cellStyle name="Normal 3 3 2 2 5 4" xfId="10010" xr:uid="{00000000-0005-0000-0000-0000E1600000}"/>
    <cellStyle name="Normal 3 3 2 2 6" xfId="2671" xr:uid="{00000000-0005-0000-0000-0000E2600000}"/>
    <cellStyle name="Normal 3 3 2 2 6 2" xfId="7064" xr:uid="{00000000-0005-0000-0000-0000E3600000}"/>
    <cellStyle name="Normal 3 3 2 2 6 2 2" xfId="15885" xr:uid="{00000000-0005-0000-0000-0000E4600000}"/>
    <cellStyle name="Normal 3 3 2 2 6 3" xfId="11478" xr:uid="{00000000-0005-0000-0000-0000E5600000}"/>
    <cellStyle name="Normal 3 3 2 2 7" xfId="4859" xr:uid="{00000000-0005-0000-0000-0000E6600000}"/>
    <cellStyle name="Normal 3 3 2 2 7 2" xfId="13680" xr:uid="{00000000-0005-0000-0000-0000E7600000}"/>
    <cellStyle name="Normal 3 3 2 2 8" xfId="9273" xr:uid="{00000000-0005-0000-0000-0000E8600000}"/>
    <cellStyle name="Normal 3 3 2 2 9" xfId="28387" xr:uid="{00000000-0005-0000-0000-0000E9600000}"/>
    <cellStyle name="Normal 3 3 2 3" xfId="330" xr:uid="{00000000-0005-0000-0000-0000EA600000}"/>
    <cellStyle name="Normal 3 3 2 3 2" xfId="823" xr:uid="{00000000-0005-0000-0000-0000EB600000}"/>
    <cellStyle name="Normal 3 3 2 3 2 2" xfId="2434" xr:uid="{00000000-0005-0000-0000-0000EC600000}"/>
    <cellStyle name="Normal 3 3 2 3 2 2 2" xfId="4578" xr:uid="{00000000-0005-0000-0000-0000ED600000}"/>
    <cellStyle name="Normal 3 3 2 3 2 2 2 2" xfId="9001" xr:uid="{00000000-0005-0000-0000-0000EE600000}"/>
    <cellStyle name="Normal 3 3 2 3 2 2 2 2 2" xfId="17822" xr:uid="{00000000-0005-0000-0000-0000EF600000}"/>
    <cellStyle name="Normal 3 3 2 3 2 2 2 3" xfId="13415" xr:uid="{00000000-0005-0000-0000-0000F0600000}"/>
    <cellStyle name="Normal 3 3 2 3 2 2 3" xfId="6796" xr:uid="{00000000-0005-0000-0000-0000F1600000}"/>
    <cellStyle name="Normal 3 3 2 3 2 2 3 2" xfId="15617" xr:uid="{00000000-0005-0000-0000-0000F2600000}"/>
    <cellStyle name="Normal 3 3 2 3 2 2 4" xfId="11210" xr:uid="{00000000-0005-0000-0000-0000F3600000}"/>
    <cellStyle name="Normal 3 3 2 3 2 3" xfId="1912" xr:uid="{00000000-0005-0000-0000-0000F4600000}"/>
    <cellStyle name="Normal 3 3 2 3 2 3 2" xfId="3869" xr:uid="{00000000-0005-0000-0000-0000F5600000}"/>
    <cellStyle name="Normal 3 3 2 3 2 3 2 2" xfId="8263" xr:uid="{00000000-0005-0000-0000-0000F6600000}"/>
    <cellStyle name="Normal 3 3 2 3 2 3 2 2 2" xfId="17084" xr:uid="{00000000-0005-0000-0000-0000F7600000}"/>
    <cellStyle name="Normal 3 3 2 3 2 3 2 3" xfId="12677" xr:uid="{00000000-0005-0000-0000-0000F8600000}"/>
    <cellStyle name="Normal 3 3 2 3 2 3 3" xfId="6058" xr:uid="{00000000-0005-0000-0000-0000F9600000}"/>
    <cellStyle name="Normal 3 3 2 3 2 3 3 2" xfId="14879" xr:uid="{00000000-0005-0000-0000-0000FA600000}"/>
    <cellStyle name="Normal 3 3 2 3 2 3 4" xfId="10472" xr:uid="{00000000-0005-0000-0000-0000FB600000}"/>
    <cellStyle name="Normal 3 3 2 3 2 4" xfId="3132" xr:uid="{00000000-0005-0000-0000-0000FC600000}"/>
    <cellStyle name="Normal 3 3 2 3 2 4 2" xfId="7526" xr:uid="{00000000-0005-0000-0000-0000FD600000}"/>
    <cellStyle name="Normal 3 3 2 3 2 4 2 2" xfId="16347" xr:uid="{00000000-0005-0000-0000-0000FE600000}"/>
    <cellStyle name="Normal 3 3 2 3 2 4 3" xfId="11940" xr:uid="{00000000-0005-0000-0000-0000FF600000}"/>
    <cellStyle name="Normal 3 3 2 3 2 5" xfId="5321" xr:uid="{00000000-0005-0000-0000-000000610000}"/>
    <cellStyle name="Normal 3 3 2 3 2 5 2" xfId="14142" xr:uid="{00000000-0005-0000-0000-000001610000}"/>
    <cellStyle name="Normal 3 3 2 3 2 6" xfId="9735" xr:uid="{00000000-0005-0000-0000-000002610000}"/>
    <cellStyle name="Normal 3 3 2 3 2 7" xfId="28392" xr:uid="{00000000-0005-0000-0000-000003610000}"/>
    <cellStyle name="Normal 3 3 2 3 2 8" xfId="29314" xr:uid="{00000000-0005-0000-0000-000004610000}"/>
    <cellStyle name="Normal 3 3 2 3 3" xfId="2173" xr:uid="{00000000-0005-0000-0000-000005610000}"/>
    <cellStyle name="Normal 3 3 2 3 3 2" xfId="4223" xr:uid="{00000000-0005-0000-0000-000006610000}"/>
    <cellStyle name="Normal 3 3 2 3 3 2 2" xfId="8632" xr:uid="{00000000-0005-0000-0000-000007610000}"/>
    <cellStyle name="Normal 3 3 2 3 3 2 2 2" xfId="17453" xr:uid="{00000000-0005-0000-0000-000008610000}"/>
    <cellStyle name="Normal 3 3 2 3 3 2 3" xfId="13046" xr:uid="{00000000-0005-0000-0000-000009610000}"/>
    <cellStyle name="Normal 3 3 2 3 3 3" xfId="6427" xr:uid="{00000000-0005-0000-0000-00000A610000}"/>
    <cellStyle name="Normal 3 3 2 3 3 3 2" xfId="15248" xr:uid="{00000000-0005-0000-0000-00000B610000}"/>
    <cellStyle name="Normal 3 3 2 3 3 4" xfId="10841" xr:uid="{00000000-0005-0000-0000-00000C610000}"/>
    <cellStyle name="Normal 3 3 2 3 4" xfId="1557" xr:uid="{00000000-0005-0000-0000-00000D610000}"/>
    <cellStyle name="Normal 3 3 2 3 4 2" xfId="3500" xr:uid="{00000000-0005-0000-0000-00000E610000}"/>
    <cellStyle name="Normal 3 3 2 3 4 2 2" xfId="7894" xr:uid="{00000000-0005-0000-0000-00000F610000}"/>
    <cellStyle name="Normal 3 3 2 3 4 2 2 2" xfId="16715" xr:uid="{00000000-0005-0000-0000-000010610000}"/>
    <cellStyle name="Normal 3 3 2 3 4 2 3" xfId="12308" xr:uid="{00000000-0005-0000-0000-000011610000}"/>
    <cellStyle name="Normal 3 3 2 3 4 3" xfId="5689" xr:uid="{00000000-0005-0000-0000-000012610000}"/>
    <cellStyle name="Normal 3 3 2 3 4 3 2" xfId="14510" xr:uid="{00000000-0005-0000-0000-000013610000}"/>
    <cellStyle name="Normal 3 3 2 3 4 4" xfId="10103" xr:uid="{00000000-0005-0000-0000-000014610000}"/>
    <cellStyle name="Normal 3 3 2 3 5" xfId="2763" xr:uid="{00000000-0005-0000-0000-000015610000}"/>
    <cellStyle name="Normal 3 3 2 3 5 2" xfId="7157" xr:uid="{00000000-0005-0000-0000-000016610000}"/>
    <cellStyle name="Normal 3 3 2 3 5 2 2" xfId="15978" xr:uid="{00000000-0005-0000-0000-000017610000}"/>
    <cellStyle name="Normal 3 3 2 3 5 3" xfId="11571" xr:uid="{00000000-0005-0000-0000-000018610000}"/>
    <cellStyle name="Normal 3 3 2 3 6" xfId="4952" xr:uid="{00000000-0005-0000-0000-000019610000}"/>
    <cellStyle name="Normal 3 3 2 3 6 2" xfId="13773" xr:uid="{00000000-0005-0000-0000-00001A610000}"/>
    <cellStyle name="Normal 3 3 2 3 7" xfId="9366" xr:uid="{00000000-0005-0000-0000-00001B610000}"/>
    <cellStyle name="Normal 3 3 2 3 8" xfId="28391" xr:uid="{00000000-0005-0000-0000-00001C610000}"/>
    <cellStyle name="Normal 3 3 2 3 9" xfId="29313" xr:uid="{00000000-0005-0000-0000-00001D610000}"/>
    <cellStyle name="Normal 3 3 2 4" xfId="735" xr:uid="{00000000-0005-0000-0000-00001E610000}"/>
    <cellStyle name="Normal 3 3 2 4 2" xfId="2303" xr:uid="{00000000-0005-0000-0000-00001F610000}"/>
    <cellStyle name="Normal 3 3 2 4 2 2" xfId="4394" xr:uid="{00000000-0005-0000-0000-000020610000}"/>
    <cellStyle name="Normal 3 3 2 4 2 2 2" xfId="8816" xr:uid="{00000000-0005-0000-0000-000021610000}"/>
    <cellStyle name="Normal 3 3 2 4 2 2 2 2" xfId="17637" xr:uid="{00000000-0005-0000-0000-000022610000}"/>
    <cellStyle name="Normal 3 3 2 4 2 2 3" xfId="13230" xr:uid="{00000000-0005-0000-0000-000023610000}"/>
    <cellStyle name="Normal 3 3 2 4 2 3" xfId="6611" xr:uid="{00000000-0005-0000-0000-000024610000}"/>
    <cellStyle name="Normal 3 3 2 4 2 3 2" xfId="15432" xr:uid="{00000000-0005-0000-0000-000025610000}"/>
    <cellStyle name="Normal 3 3 2 4 2 4" xfId="11025" xr:uid="{00000000-0005-0000-0000-000026610000}"/>
    <cellStyle name="Normal 3 3 2 4 3" xfId="1728" xr:uid="{00000000-0005-0000-0000-000027610000}"/>
    <cellStyle name="Normal 3 3 2 4 3 2" xfId="3684" xr:uid="{00000000-0005-0000-0000-000028610000}"/>
    <cellStyle name="Normal 3 3 2 4 3 2 2" xfId="8078" xr:uid="{00000000-0005-0000-0000-000029610000}"/>
    <cellStyle name="Normal 3 3 2 4 3 2 2 2" xfId="16899" xr:uid="{00000000-0005-0000-0000-00002A610000}"/>
    <cellStyle name="Normal 3 3 2 4 3 2 3" xfId="12492" xr:uid="{00000000-0005-0000-0000-00002B610000}"/>
    <cellStyle name="Normal 3 3 2 4 3 3" xfId="5873" xr:uid="{00000000-0005-0000-0000-00002C610000}"/>
    <cellStyle name="Normal 3 3 2 4 3 3 2" xfId="14694" xr:uid="{00000000-0005-0000-0000-00002D610000}"/>
    <cellStyle name="Normal 3 3 2 4 3 4" xfId="10287" xr:uid="{00000000-0005-0000-0000-00002E610000}"/>
    <cellStyle name="Normal 3 3 2 4 4" xfId="2947" xr:uid="{00000000-0005-0000-0000-00002F610000}"/>
    <cellStyle name="Normal 3 3 2 4 4 2" xfId="7341" xr:uid="{00000000-0005-0000-0000-000030610000}"/>
    <cellStyle name="Normal 3 3 2 4 4 2 2" xfId="16162" xr:uid="{00000000-0005-0000-0000-000031610000}"/>
    <cellStyle name="Normal 3 3 2 4 4 3" xfId="11755" xr:uid="{00000000-0005-0000-0000-000032610000}"/>
    <cellStyle name="Normal 3 3 2 4 5" xfId="5136" xr:uid="{00000000-0005-0000-0000-000033610000}"/>
    <cellStyle name="Normal 3 3 2 4 5 2" xfId="13957" xr:uid="{00000000-0005-0000-0000-000034610000}"/>
    <cellStyle name="Normal 3 3 2 4 6" xfId="9550" xr:uid="{00000000-0005-0000-0000-000035610000}"/>
    <cellStyle name="Normal 3 3 2 4 7" xfId="28393" xr:uid="{00000000-0005-0000-0000-000036610000}"/>
    <cellStyle name="Normal 3 3 2 4 8" xfId="29315" xr:uid="{00000000-0005-0000-0000-000037610000}"/>
    <cellStyle name="Normal 3 3 2 5" xfId="1028" xr:uid="{00000000-0005-0000-0000-000038610000}"/>
    <cellStyle name="Normal 3 3 2 5 2" xfId="4039" xr:uid="{00000000-0005-0000-0000-000039610000}"/>
    <cellStyle name="Normal 3 3 2 5 2 2" xfId="8447" xr:uid="{00000000-0005-0000-0000-00003A610000}"/>
    <cellStyle name="Normal 3 3 2 5 2 2 2" xfId="17268" xr:uid="{00000000-0005-0000-0000-00003B610000}"/>
    <cellStyle name="Normal 3 3 2 5 2 3" xfId="12861" xr:uid="{00000000-0005-0000-0000-00003C610000}"/>
    <cellStyle name="Normal 3 3 2 5 3" xfId="6242" xr:uid="{00000000-0005-0000-0000-00003D610000}"/>
    <cellStyle name="Normal 3 3 2 5 3 2" xfId="15063" xr:uid="{00000000-0005-0000-0000-00003E610000}"/>
    <cellStyle name="Normal 3 3 2 5 4" xfId="10656" xr:uid="{00000000-0005-0000-0000-00003F610000}"/>
    <cellStyle name="Normal 3 3 2 5 5" xfId="28394" xr:uid="{00000000-0005-0000-0000-000040610000}"/>
    <cellStyle name="Normal 3 3 2 5 6" xfId="29316" xr:uid="{00000000-0005-0000-0000-000041610000}"/>
    <cellStyle name="Normal 3 3 2 6" xfId="1400" xr:uid="{00000000-0005-0000-0000-000042610000}"/>
    <cellStyle name="Normal 3 3 2 6 2" xfId="3315" xr:uid="{00000000-0005-0000-0000-000043610000}"/>
    <cellStyle name="Normal 3 3 2 6 2 2" xfId="7709" xr:uid="{00000000-0005-0000-0000-000044610000}"/>
    <cellStyle name="Normal 3 3 2 6 2 2 2" xfId="16530" xr:uid="{00000000-0005-0000-0000-000045610000}"/>
    <cellStyle name="Normal 3 3 2 6 2 3" xfId="12123" xr:uid="{00000000-0005-0000-0000-000046610000}"/>
    <cellStyle name="Normal 3 3 2 6 3" xfId="5504" xr:uid="{00000000-0005-0000-0000-000047610000}"/>
    <cellStyle name="Normal 3 3 2 6 3 2" xfId="14325" xr:uid="{00000000-0005-0000-0000-000048610000}"/>
    <cellStyle name="Normal 3 3 2 6 4" xfId="9918" xr:uid="{00000000-0005-0000-0000-000049610000}"/>
    <cellStyle name="Normal 3 3 2 7" xfId="2579" xr:uid="{00000000-0005-0000-0000-00004A610000}"/>
    <cellStyle name="Normal 3 3 2 7 2" xfId="6972" xr:uid="{00000000-0005-0000-0000-00004B610000}"/>
    <cellStyle name="Normal 3 3 2 7 2 2" xfId="15793" xr:uid="{00000000-0005-0000-0000-00004C610000}"/>
    <cellStyle name="Normal 3 3 2 7 3" xfId="11386" xr:uid="{00000000-0005-0000-0000-00004D610000}"/>
    <cellStyle name="Normal 3 3 2 8" xfId="4767" xr:uid="{00000000-0005-0000-0000-00004E610000}"/>
    <cellStyle name="Normal 3 3 2 8 2" xfId="13588" xr:uid="{00000000-0005-0000-0000-00004F610000}"/>
    <cellStyle name="Normal 3 3 2 9" xfId="9181" xr:uid="{00000000-0005-0000-0000-000050610000}"/>
    <cellStyle name="Normal 3 3 3" xfId="149" xr:uid="{00000000-0005-0000-0000-000051610000}"/>
    <cellStyle name="Normal 3 3 3 10" xfId="29317" xr:uid="{00000000-0005-0000-0000-000052610000}"/>
    <cellStyle name="Normal 3 3 3 2" xfId="246" xr:uid="{00000000-0005-0000-0000-000053610000}"/>
    <cellStyle name="Normal 3 3 3 2 2" xfId="453" xr:uid="{00000000-0005-0000-0000-000054610000}"/>
    <cellStyle name="Normal 3 3 3 2 2 2" xfId="946" xr:uid="{00000000-0005-0000-0000-000055610000}"/>
    <cellStyle name="Normal 3 3 3 2 2 2 2" xfId="4623" xr:uid="{00000000-0005-0000-0000-000056610000}"/>
    <cellStyle name="Normal 3 3 3 2 2 2 2 2" xfId="9046" xr:uid="{00000000-0005-0000-0000-000057610000}"/>
    <cellStyle name="Normal 3 3 3 2 2 2 2 2 2" xfId="17867" xr:uid="{00000000-0005-0000-0000-000058610000}"/>
    <cellStyle name="Normal 3 3 3 2 2 2 2 3" xfId="13460" xr:uid="{00000000-0005-0000-0000-000059610000}"/>
    <cellStyle name="Normal 3 3 3 2 2 2 3" xfId="6841" xr:uid="{00000000-0005-0000-0000-00005A610000}"/>
    <cellStyle name="Normal 3 3 3 2 2 2 3 2" xfId="15662" xr:uid="{00000000-0005-0000-0000-00005B610000}"/>
    <cellStyle name="Normal 3 3 3 2 2 2 4" xfId="11255" xr:uid="{00000000-0005-0000-0000-00005C610000}"/>
    <cellStyle name="Normal 3 3 3 2 2 2 5" xfId="28398" xr:uid="{00000000-0005-0000-0000-00005D610000}"/>
    <cellStyle name="Normal 3 3 3 2 2 2 6" xfId="29320" xr:uid="{00000000-0005-0000-0000-00005E610000}"/>
    <cellStyle name="Normal 3 3 3 2 2 3" xfId="1957" xr:uid="{00000000-0005-0000-0000-00005F610000}"/>
    <cellStyle name="Normal 3 3 3 2 2 3 2" xfId="3914" xr:uid="{00000000-0005-0000-0000-000060610000}"/>
    <cellStyle name="Normal 3 3 3 2 2 3 2 2" xfId="8308" xr:uid="{00000000-0005-0000-0000-000061610000}"/>
    <cellStyle name="Normal 3 3 3 2 2 3 2 2 2" xfId="17129" xr:uid="{00000000-0005-0000-0000-000062610000}"/>
    <cellStyle name="Normal 3 3 3 2 2 3 2 3" xfId="12722" xr:uid="{00000000-0005-0000-0000-000063610000}"/>
    <cellStyle name="Normal 3 3 3 2 2 3 3" xfId="6103" xr:uid="{00000000-0005-0000-0000-000064610000}"/>
    <cellStyle name="Normal 3 3 3 2 2 3 3 2" xfId="14924" xr:uid="{00000000-0005-0000-0000-000065610000}"/>
    <cellStyle name="Normal 3 3 3 2 2 3 4" xfId="10517" xr:uid="{00000000-0005-0000-0000-000066610000}"/>
    <cellStyle name="Normal 3 3 3 2 2 4" xfId="3177" xr:uid="{00000000-0005-0000-0000-000067610000}"/>
    <cellStyle name="Normal 3 3 3 2 2 4 2" xfId="7571" xr:uid="{00000000-0005-0000-0000-000068610000}"/>
    <cellStyle name="Normal 3 3 3 2 2 4 2 2" xfId="16392" xr:uid="{00000000-0005-0000-0000-000069610000}"/>
    <cellStyle name="Normal 3 3 3 2 2 4 3" xfId="11985" xr:uid="{00000000-0005-0000-0000-00006A610000}"/>
    <cellStyle name="Normal 3 3 3 2 2 5" xfId="5366" xr:uid="{00000000-0005-0000-0000-00006B610000}"/>
    <cellStyle name="Normal 3 3 3 2 2 5 2" xfId="14187" xr:uid="{00000000-0005-0000-0000-00006C610000}"/>
    <cellStyle name="Normal 3 3 3 2 2 6" xfId="9780" xr:uid="{00000000-0005-0000-0000-00006D610000}"/>
    <cellStyle name="Normal 3 3 3 2 2 7" xfId="28397" xr:uid="{00000000-0005-0000-0000-00006E610000}"/>
    <cellStyle name="Normal 3 3 3 2 2 8" xfId="29319" xr:uid="{00000000-0005-0000-0000-00006F610000}"/>
    <cellStyle name="Normal 3 3 3 2 3" xfId="738" xr:uid="{00000000-0005-0000-0000-000070610000}"/>
    <cellStyle name="Normal 3 3 3 2 3 2" xfId="4268" xr:uid="{00000000-0005-0000-0000-000071610000}"/>
    <cellStyle name="Normal 3 3 3 2 3 2 2" xfId="8677" xr:uid="{00000000-0005-0000-0000-000072610000}"/>
    <cellStyle name="Normal 3 3 3 2 3 2 2 2" xfId="17498" xr:uid="{00000000-0005-0000-0000-000073610000}"/>
    <cellStyle name="Normal 3 3 3 2 3 2 3" xfId="13091" xr:uid="{00000000-0005-0000-0000-000074610000}"/>
    <cellStyle name="Normal 3 3 3 2 3 3" xfId="6472" xr:uid="{00000000-0005-0000-0000-000075610000}"/>
    <cellStyle name="Normal 3 3 3 2 3 3 2" xfId="15293" xr:uid="{00000000-0005-0000-0000-000076610000}"/>
    <cellStyle name="Normal 3 3 3 2 3 4" xfId="10886" xr:uid="{00000000-0005-0000-0000-000077610000}"/>
    <cellStyle name="Normal 3 3 3 2 3 5" xfId="28399" xr:uid="{00000000-0005-0000-0000-000078610000}"/>
    <cellStyle name="Normal 3 3 3 2 3 6" xfId="29321" xr:uid="{00000000-0005-0000-0000-000079610000}"/>
    <cellStyle name="Normal 3 3 3 2 4" xfId="1602" xr:uid="{00000000-0005-0000-0000-00007A610000}"/>
    <cellStyle name="Normal 3 3 3 2 4 2" xfId="3545" xr:uid="{00000000-0005-0000-0000-00007B610000}"/>
    <cellStyle name="Normal 3 3 3 2 4 2 2" xfId="7939" xr:uid="{00000000-0005-0000-0000-00007C610000}"/>
    <cellStyle name="Normal 3 3 3 2 4 2 2 2" xfId="16760" xr:uid="{00000000-0005-0000-0000-00007D610000}"/>
    <cellStyle name="Normal 3 3 3 2 4 2 3" xfId="12353" xr:uid="{00000000-0005-0000-0000-00007E610000}"/>
    <cellStyle name="Normal 3 3 3 2 4 3" xfId="5734" xr:uid="{00000000-0005-0000-0000-00007F610000}"/>
    <cellStyle name="Normal 3 3 3 2 4 3 2" xfId="14555" xr:uid="{00000000-0005-0000-0000-000080610000}"/>
    <cellStyle name="Normal 3 3 3 2 4 4" xfId="10148" xr:uid="{00000000-0005-0000-0000-000081610000}"/>
    <cellStyle name="Normal 3 3 3 2 5" xfId="2808" xr:uid="{00000000-0005-0000-0000-000082610000}"/>
    <cellStyle name="Normal 3 3 3 2 5 2" xfId="7202" xr:uid="{00000000-0005-0000-0000-000083610000}"/>
    <cellStyle name="Normal 3 3 3 2 5 2 2" xfId="16023" xr:uid="{00000000-0005-0000-0000-000084610000}"/>
    <cellStyle name="Normal 3 3 3 2 5 3" xfId="11616" xr:uid="{00000000-0005-0000-0000-000085610000}"/>
    <cellStyle name="Normal 3 3 3 2 6" xfId="4997" xr:uid="{00000000-0005-0000-0000-000086610000}"/>
    <cellStyle name="Normal 3 3 3 2 6 2" xfId="13818" xr:uid="{00000000-0005-0000-0000-000087610000}"/>
    <cellStyle name="Normal 3 3 3 2 7" xfId="9411" xr:uid="{00000000-0005-0000-0000-000088610000}"/>
    <cellStyle name="Normal 3 3 3 2 8" xfId="28396" xr:uid="{00000000-0005-0000-0000-000089610000}"/>
    <cellStyle name="Normal 3 3 3 2 9" xfId="29318" xr:uid="{00000000-0005-0000-0000-00008A610000}"/>
    <cellStyle name="Normal 3 3 3 3" xfId="360" xr:uid="{00000000-0005-0000-0000-00008B610000}"/>
    <cellStyle name="Normal 3 3 3 3 2" xfId="853" xr:uid="{00000000-0005-0000-0000-00008C610000}"/>
    <cellStyle name="Normal 3 3 3 3 2 2" xfId="4439" xr:uid="{00000000-0005-0000-0000-00008D610000}"/>
    <cellStyle name="Normal 3 3 3 3 2 2 2" xfId="8861" xr:uid="{00000000-0005-0000-0000-00008E610000}"/>
    <cellStyle name="Normal 3 3 3 3 2 2 2 2" xfId="17682" xr:uid="{00000000-0005-0000-0000-00008F610000}"/>
    <cellStyle name="Normal 3 3 3 3 2 2 3" xfId="13275" xr:uid="{00000000-0005-0000-0000-000090610000}"/>
    <cellStyle name="Normal 3 3 3 3 2 3" xfId="6656" xr:uid="{00000000-0005-0000-0000-000091610000}"/>
    <cellStyle name="Normal 3 3 3 3 2 3 2" xfId="15477" xr:uid="{00000000-0005-0000-0000-000092610000}"/>
    <cellStyle name="Normal 3 3 3 3 2 4" xfId="11070" xr:uid="{00000000-0005-0000-0000-000093610000}"/>
    <cellStyle name="Normal 3 3 3 3 2 5" xfId="28401" xr:uid="{00000000-0005-0000-0000-000094610000}"/>
    <cellStyle name="Normal 3 3 3 3 2 6" xfId="29323" xr:uid="{00000000-0005-0000-0000-000095610000}"/>
    <cellStyle name="Normal 3 3 3 3 3" xfId="1773" xr:uid="{00000000-0005-0000-0000-000096610000}"/>
    <cellStyle name="Normal 3 3 3 3 3 2" xfId="3729" xr:uid="{00000000-0005-0000-0000-000097610000}"/>
    <cellStyle name="Normal 3 3 3 3 3 2 2" xfId="8123" xr:uid="{00000000-0005-0000-0000-000098610000}"/>
    <cellStyle name="Normal 3 3 3 3 3 2 2 2" xfId="16944" xr:uid="{00000000-0005-0000-0000-000099610000}"/>
    <cellStyle name="Normal 3 3 3 3 3 2 3" xfId="12537" xr:uid="{00000000-0005-0000-0000-00009A610000}"/>
    <cellStyle name="Normal 3 3 3 3 3 3" xfId="5918" xr:uid="{00000000-0005-0000-0000-00009B610000}"/>
    <cellStyle name="Normal 3 3 3 3 3 3 2" xfId="14739" xr:uid="{00000000-0005-0000-0000-00009C610000}"/>
    <cellStyle name="Normal 3 3 3 3 3 4" xfId="10332" xr:uid="{00000000-0005-0000-0000-00009D610000}"/>
    <cellStyle name="Normal 3 3 3 3 4" xfId="2992" xr:uid="{00000000-0005-0000-0000-00009E610000}"/>
    <cellStyle name="Normal 3 3 3 3 4 2" xfId="7386" xr:uid="{00000000-0005-0000-0000-00009F610000}"/>
    <cellStyle name="Normal 3 3 3 3 4 2 2" xfId="16207" xr:uid="{00000000-0005-0000-0000-0000A0610000}"/>
    <cellStyle name="Normal 3 3 3 3 4 3" xfId="11800" xr:uid="{00000000-0005-0000-0000-0000A1610000}"/>
    <cellStyle name="Normal 3 3 3 3 5" xfId="5181" xr:uid="{00000000-0005-0000-0000-0000A2610000}"/>
    <cellStyle name="Normal 3 3 3 3 5 2" xfId="14002" xr:uid="{00000000-0005-0000-0000-0000A3610000}"/>
    <cellStyle name="Normal 3 3 3 3 6" xfId="9595" xr:uid="{00000000-0005-0000-0000-0000A4610000}"/>
    <cellStyle name="Normal 3 3 3 3 7" xfId="28400" xr:uid="{00000000-0005-0000-0000-0000A5610000}"/>
    <cellStyle name="Normal 3 3 3 3 8" xfId="29322" xr:uid="{00000000-0005-0000-0000-0000A6610000}"/>
    <cellStyle name="Normal 3 3 3 4" xfId="737" xr:uid="{00000000-0005-0000-0000-0000A7610000}"/>
    <cellStyle name="Normal 3 3 3 4 2" xfId="4084" xr:uid="{00000000-0005-0000-0000-0000A8610000}"/>
    <cellStyle name="Normal 3 3 3 4 2 2" xfId="8492" xr:uid="{00000000-0005-0000-0000-0000A9610000}"/>
    <cellStyle name="Normal 3 3 3 4 2 2 2" xfId="17313" xr:uid="{00000000-0005-0000-0000-0000AA610000}"/>
    <cellStyle name="Normal 3 3 3 4 2 3" xfId="12906" xr:uid="{00000000-0005-0000-0000-0000AB610000}"/>
    <cellStyle name="Normal 3 3 3 4 3" xfId="6287" xr:uid="{00000000-0005-0000-0000-0000AC610000}"/>
    <cellStyle name="Normal 3 3 3 4 3 2" xfId="15108" xr:uid="{00000000-0005-0000-0000-0000AD610000}"/>
    <cellStyle name="Normal 3 3 3 4 4" xfId="10701" xr:uid="{00000000-0005-0000-0000-0000AE610000}"/>
    <cellStyle name="Normal 3 3 3 4 5" xfId="28402" xr:uid="{00000000-0005-0000-0000-0000AF610000}"/>
    <cellStyle name="Normal 3 3 3 4 6" xfId="29324" xr:uid="{00000000-0005-0000-0000-0000B0610000}"/>
    <cellStyle name="Normal 3 3 3 5" xfId="1058" xr:uid="{00000000-0005-0000-0000-0000B1610000}"/>
    <cellStyle name="Normal 3 3 3 5 2" xfId="3360" xr:uid="{00000000-0005-0000-0000-0000B2610000}"/>
    <cellStyle name="Normal 3 3 3 5 2 2" xfId="7754" xr:uid="{00000000-0005-0000-0000-0000B3610000}"/>
    <cellStyle name="Normal 3 3 3 5 2 2 2" xfId="16575" xr:uid="{00000000-0005-0000-0000-0000B4610000}"/>
    <cellStyle name="Normal 3 3 3 5 2 3" xfId="12168" xr:uid="{00000000-0005-0000-0000-0000B5610000}"/>
    <cellStyle name="Normal 3 3 3 5 3" xfId="5549" xr:uid="{00000000-0005-0000-0000-0000B6610000}"/>
    <cellStyle name="Normal 3 3 3 5 3 2" xfId="14370" xr:uid="{00000000-0005-0000-0000-0000B7610000}"/>
    <cellStyle name="Normal 3 3 3 5 4" xfId="9963" xr:uid="{00000000-0005-0000-0000-0000B8610000}"/>
    <cellStyle name="Normal 3 3 3 5 5" xfId="28403" xr:uid="{00000000-0005-0000-0000-0000B9610000}"/>
    <cellStyle name="Normal 3 3 3 5 6" xfId="29325" xr:uid="{00000000-0005-0000-0000-0000BA610000}"/>
    <cellStyle name="Normal 3 3 3 6" xfId="2624" xr:uid="{00000000-0005-0000-0000-0000BB610000}"/>
    <cellStyle name="Normal 3 3 3 6 2" xfId="7017" xr:uid="{00000000-0005-0000-0000-0000BC610000}"/>
    <cellStyle name="Normal 3 3 3 6 2 2" xfId="15838" xr:uid="{00000000-0005-0000-0000-0000BD610000}"/>
    <cellStyle name="Normal 3 3 3 6 3" xfId="11431" xr:uid="{00000000-0005-0000-0000-0000BE610000}"/>
    <cellStyle name="Normal 3 3 3 7" xfId="4812" xr:uid="{00000000-0005-0000-0000-0000BF610000}"/>
    <cellStyle name="Normal 3 3 3 7 2" xfId="13633" xr:uid="{00000000-0005-0000-0000-0000C0610000}"/>
    <cellStyle name="Normal 3 3 3 8" xfId="9226" xr:uid="{00000000-0005-0000-0000-0000C1610000}"/>
    <cellStyle name="Normal 3 3 3 9" xfId="28395" xr:uid="{00000000-0005-0000-0000-0000C2610000}"/>
    <cellStyle name="Normal 3 3 4" xfId="186" xr:uid="{00000000-0005-0000-0000-0000C3610000}"/>
    <cellStyle name="Normal 3 3 4 2" xfId="393" xr:uid="{00000000-0005-0000-0000-0000C4610000}"/>
    <cellStyle name="Normal 3 3 4 2 2" xfId="886" xr:uid="{00000000-0005-0000-0000-0000C5610000}"/>
    <cellStyle name="Normal 3 3 4 2 2 2" xfId="4531" xr:uid="{00000000-0005-0000-0000-0000C6610000}"/>
    <cellStyle name="Normal 3 3 4 2 2 2 2" xfId="8953" xr:uid="{00000000-0005-0000-0000-0000C7610000}"/>
    <cellStyle name="Normal 3 3 4 2 2 2 2 2" xfId="17774" xr:uid="{00000000-0005-0000-0000-0000C8610000}"/>
    <cellStyle name="Normal 3 3 4 2 2 2 3" xfId="13367" xr:uid="{00000000-0005-0000-0000-0000C9610000}"/>
    <cellStyle name="Normal 3 3 4 2 2 3" xfId="6748" xr:uid="{00000000-0005-0000-0000-0000CA610000}"/>
    <cellStyle name="Normal 3 3 4 2 2 3 2" xfId="15569" xr:uid="{00000000-0005-0000-0000-0000CB610000}"/>
    <cellStyle name="Normal 3 3 4 2 2 4" xfId="11162" xr:uid="{00000000-0005-0000-0000-0000CC610000}"/>
    <cellStyle name="Normal 3 3 4 2 2 5" xfId="28406" xr:uid="{00000000-0005-0000-0000-0000CD610000}"/>
    <cellStyle name="Normal 3 3 4 2 2 6" xfId="29328" xr:uid="{00000000-0005-0000-0000-0000CE610000}"/>
    <cellStyle name="Normal 3 3 4 2 3" xfId="1865" xr:uid="{00000000-0005-0000-0000-0000CF610000}"/>
    <cellStyle name="Normal 3 3 4 2 3 2" xfId="3821" xr:uid="{00000000-0005-0000-0000-0000D0610000}"/>
    <cellStyle name="Normal 3 3 4 2 3 2 2" xfId="8215" xr:uid="{00000000-0005-0000-0000-0000D1610000}"/>
    <cellStyle name="Normal 3 3 4 2 3 2 2 2" xfId="17036" xr:uid="{00000000-0005-0000-0000-0000D2610000}"/>
    <cellStyle name="Normal 3 3 4 2 3 2 3" xfId="12629" xr:uid="{00000000-0005-0000-0000-0000D3610000}"/>
    <cellStyle name="Normal 3 3 4 2 3 3" xfId="6010" xr:uid="{00000000-0005-0000-0000-0000D4610000}"/>
    <cellStyle name="Normal 3 3 4 2 3 3 2" xfId="14831" xr:uid="{00000000-0005-0000-0000-0000D5610000}"/>
    <cellStyle name="Normal 3 3 4 2 3 4" xfId="10424" xr:uid="{00000000-0005-0000-0000-0000D6610000}"/>
    <cellStyle name="Normal 3 3 4 2 4" xfId="3084" xr:uid="{00000000-0005-0000-0000-0000D7610000}"/>
    <cellStyle name="Normal 3 3 4 2 4 2" xfId="7478" xr:uid="{00000000-0005-0000-0000-0000D8610000}"/>
    <cellStyle name="Normal 3 3 4 2 4 2 2" xfId="16299" xr:uid="{00000000-0005-0000-0000-0000D9610000}"/>
    <cellStyle name="Normal 3 3 4 2 4 3" xfId="11892" xr:uid="{00000000-0005-0000-0000-0000DA610000}"/>
    <cellStyle name="Normal 3 3 4 2 5" xfId="5273" xr:uid="{00000000-0005-0000-0000-0000DB610000}"/>
    <cellStyle name="Normal 3 3 4 2 5 2" xfId="14094" xr:uid="{00000000-0005-0000-0000-0000DC610000}"/>
    <cellStyle name="Normal 3 3 4 2 6" xfId="9687" xr:uid="{00000000-0005-0000-0000-0000DD610000}"/>
    <cellStyle name="Normal 3 3 4 2 7" xfId="28405" xr:uid="{00000000-0005-0000-0000-0000DE610000}"/>
    <cellStyle name="Normal 3 3 4 2 8" xfId="29327" xr:uid="{00000000-0005-0000-0000-0000DF610000}"/>
    <cellStyle name="Normal 3 3 4 3" xfId="739" xr:uid="{00000000-0005-0000-0000-0000E0610000}"/>
    <cellStyle name="Normal 3 3 4 3 2" xfId="4176" xr:uid="{00000000-0005-0000-0000-0000E1610000}"/>
    <cellStyle name="Normal 3 3 4 3 2 2" xfId="8584" xr:uid="{00000000-0005-0000-0000-0000E2610000}"/>
    <cellStyle name="Normal 3 3 4 3 2 2 2" xfId="17405" xr:uid="{00000000-0005-0000-0000-0000E3610000}"/>
    <cellStyle name="Normal 3 3 4 3 2 3" xfId="12998" xr:uid="{00000000-0005-0000-0000-0000E4610000}"/>
    <cellStyle name="Normal 3 3 4 3 3" xfId="6379" xr:uid="{00000000-0005-0000-0000-0000E5610000}"/>
    <cellStyle name="Normal 3 3 4 3 3 2" xfId="15200" xr:uid="{00000000-0005-0000-0000-0000E6610000}"/>
    <cellStyle name="Normal 3 3 4 3 4" xfId="10793" xr:uid="{00000000-0005-0000-0000-0000E7610000}"/>
    <cellStyle name="Normal 3 3 4 3 5" xfId="28407" xr:uid="{00000000-0005-0000-0000-0000E8610000}"/>
    <cellStyle name="Normal 3 3 4 3 6" xfId="29329" xr:uid="{00000000-0005-0000-0000-0000E9610000}"/>
    <cellStyle name="Normal 3 3 4 4" xfId="1510" xr:uid="{00000000-0005-0000-0000-0000EA610000}"/>
    <cellStyle name="Normal 3 3 4 4 2" xfId="3452" xr:uid="{00000000-0005-0000-0000-0000EB610000}"/>
    <cellStyle name="Normal 3 3 4 4 2 2" xfId="7846" xr:uid="{00000000-0005-0000-0000-0000EC610000}"/>
    <cellStyle name="Normal 3 3 4 4 2 2 2" xfId="16667" xr:uid="{00000000-0005-0000-0000-0000ED610000}"/>
    <cellStyle name="Normal 3 3 4 4 2 3" xfId="12260" xr:uid="{00000000-0005-0000-0000-0000EE610000}"/>
    <cellStyle name="Normal 3 3 4 4 3" xfId="5641" xr:uid="{00000000-0005-0000-0000-0000EF610000}"/>
    <cellStyle name="Normal 3 3 4 4 3 2" xfId="14462" xr:uid="{00000000-0005-0000-0000-0000F0610000}"/>
    <cellStyle name="Normal 3 3 4 4 4" xfId="10055" xr:uid="{00000000-0005-0000-0000-0000F1610000}"/>
    <cellStyle name="Normal 3 3 4 5" xfId="2716" xr:uid="{00000000-0005-0000-0000-0000F2610000}"/>
    <cellStyle name="Normal 3 3 4 5 2" xfId="7109" xr:uid="{00000000-0005-0000-0000-0000F3610000}"/>
    <cellStyle name="Normal 3 3 4 5 2 2" xfId="15930" xr:uid="{00000000-0005-0000-0000-0000F4610000}"/>
    <cellStyle name="Normal 3 3 4 5 3" xfId="11523" xr:uid="{00000000-0005-0000-0000-0000F5610000}"/>
    <cellStyle name="Normal 3 3 4 6" xfId="4904" xr:uid="{00000000-0005-0000-0000-0000F6610000}"/>
    <cellStyle name="Normal 3 3 4 6 2" xfId="13725" xr:uid="{00000000-0005-0000-0000-0000F7610000}"/>
    <cellStyle name="Normal 3 3 4 7" xfId="9318" xr:uid="{00000000-0005-0000-0000-0000F8610000}"/>
    <cellStyle name="Normal 3 3 4 8" xfId="28404" xr:uid="{00000000-0005-0000-0000-0000F9610000}"/>
    <cellStyle name="Normal 3 3 4 9" xfId="29326" xr:uid="{00000000-0005-0000-0000-0000FA610000}"/>
    <cellStyle name="Normal 3 3 5" xfId="300" xr:uid="{00000000-0005-0000-0000-0000FB610000}"/>
    <cellStyle name="Normal 3 3 5 2" xfId="793" xr:uid="{00000000-0005-0000-0000-0000FC610000}"/>
    <cellStyle name="Normal 3 3 5 2 2" xfId="4347" xr:uid="{00000000-0005-0000-0000-0000FD610000}"/>
    <cellStyle name="Normal 3 3 5 2 2 2" xfId="8768" xr:uid="{00000000-0005-0000-0000-0000FE610000}"/>
    <cellStyle name="Normal 3 3 5 2 2 2 2" xfId="17589" xr:uid="{00000000-0005-0000-0000-0000FF610000}"/>
    <cellStyle name="Normal 3 3 5 2 2 3" xfId="13182" xr:uid="{00000000-0005-0000-0000-000000620000}"/>
    <cellStyle name="Normal 3 3 5 2 3" xfId="6563" xr:uid="{00000000-0005-0000-0000-000001620000}"/>
    <cellStyle name="Normal 3 3 5 2 3 2" xfId="15384" xr:uid="{00000000-0005-0000-0000-000002620000}"/>
    <cellStyle name="Normal 3 3 5 2 4" xfId="10977" xr:uid="{00000000-0005-0000-0000-000003620000}"/>
    <cellStyle name="Normal 3 3 5 2 5" xfId="28409" xr:uid="{00000000-0005-0000-0000-000004620000}"/>
    <cellStyle name="Normal 3 3 5 2 6" xfId="29331" xr:uid="{00000000-0005-0000-0000-000005620000}"/>
    <cellStyle name="Normal 3 3 5 3" xfId="1681" xr:uid="{00000000-0005-0000-0000-000006620000}"/>
    <cellStyle name="Normal 3 3 5 3 2" xfId="3636" xr:uid="{00000000-0005-0000-0000-000007620000}"/>
    <cellStyle name="Normal 3 3 5 3 2 2" xfId="8030" xr:uid="{00000000-0005-0000-0000-000008620000}"/>
    <cellStyle name="Normal 3 3 5 3 2 2 2" xfId="16851" xr:uid="{00000000-0005-0000-0000-000009620000}"/>
    <cellStyle name="Normal 3 3 5 3 2 3" xfId="12444" xr:uid="{00000000-0005-0000-0000-00000A620000}"/>
    <cellStyle name="Normal 3 3 5 3 3" xfId="5825" xr:uid="{00000000-0005-0000-0000-00000B620000}"/>
    <cellStyle name="Normal 3 3 5 3 3 2" xfId="14646" xr:uid="{00000000-0005-0000-0000-00000C620000}"/>
    <cellStyle name="Normal 3 3 5 3 4" xfId="10239" xr:uid="{00000000-0005-0000-0000-00000D620000}"/>
    <cellStyle name="Normal 3 3 5 4" xfId="2899" xr:uid="{00000000-0005-0000-0000-00000E620000}"/>
    <cellStyle name="Normal 3 3 5 4 2" xfId="7293" xr:uid="{00000000-0005-0000-0000-00000F620000}"/>
    <cellStyle name="Normal 3 3 5 4 2 2" xfId="16114" xr:uid="{00000000-0005-0000-0000-000010620000}"/>
    <cellStyle name="Normal 3 3 5 4 3" xfId="11707" xr:uid="{00000000-0005-0000-0000-000011620000}"/>
    <cellStyle name="Normal 3 3 5 5" xfId="5088" xr:uid="{00000000-0005-0000-0000-000012620000}"/>
    <cellStyle name="Normal 3 3 5 5 2" xfId="13909" xr:uid="{00000000-0005-0000-0000-000013620000}"/>
    <cellStyle name="Normal 3 3 5 6" xfId="9502" xr:uid="{00000000-0005-0000-0000-000014620000}"/>
    <cellStyle name="Normal 3 3 5 7" xfId="28408" xr:uid="{00000000-0005-0000-0000-000015620000}"/>
    <cellStyle name="Normal 3 3 5 8" xfId="29330" xr:uid="{00000000-0005-0000-0000-000016620000}"/>
    <cellStyle name="Normal 3 3 6" xfId="734" xr:uid="{00000000-0005-0000-0000-000017620000}"/>
    <cellStyle name="Normal 3 3 6 2" xfId="3992" xr:uid="{00000000-0005-0000-0000-000018620000}"/>
    <cellStyle name="Normal 3 3 6 2 2" xfId="8399" xr:uid="{00000000-0005-0000-0000-000019620000}"/>
    <cellStyle name="Normal 3 3 6 2 2 2" xfId="17220" xr:uid="{00000000-0005-0000-0000-00001A620000}"/>
    <cellStyle name="Normal 3 3 6 2 3" xfId="12813" xr:uid="{00000000-0005-0000-0000-00001B620000}"/>
    <cellStyle name="Normal 3 3 6 3" xfId="6194" xr:uid="{00000000-0005-0000-0000-00001C620000}"/>
    <cellStyle name="Normal 3 3 6 3 2" xfId="15015" xr:uid="{00000000-0005-0000-0000-00001D620000}"/>
    <cellStyle name="Normal 3 3 6 4" xfId="10608" xr:uid="{00000000-0005-0000-0000-00001E620000}"/>
    <cellStyle name="Normal 3 3 6 5" xfId="28410" xr:uid="{00000000-0005-0000-0000-00001F620000}"/>
    <cellStyle name="Normal 3 3 6 6" xfId="29332" xr:uid="{00000000-0005-0000-0000-000020620000}"/>
    <cellStyle name="Normal 3 3 7" xfId="998" xr:uid="{00000000-0005-0000-0000-000021620000}"/>
    <cellStyle name="Normal 3 3 7 2" xfId="3267" xr:uid="{00000000-0005-0000-0000-000022620000}"/>
    <cellStyle name="Normal 3 3 7 2 2" xfId="7661" xr:uid="{00000000-0005-0000-0000-000023620000}"/>
    <cellStyle name="Normal 3 3 7 2 2 2" xfId="16482" xr:uid="{00000000-0005-0000-0000-000024620000}"/>
    <cellStyle name="Normal 3 3 7 2 3" xfId="12075" xr:uid="{00000000-0005-0000-0000-000025620000}"/>
    <cellStyle name="Normal 3 3 7 3" xfId="5456" xr:uid="{00000000-0005-0000-0000-000026620000}"/>
    <cellStyle name="Normal 3 3 7 3 2" xfId="14277" xr:uid="{00000000-0005-0000-0000-000027620000}"/>
    <cellStyle name="Normal 3 3 7 4" xfId="9870" xr:uid="{00000000-0005-0000-0000-000028620000}"/>
    <cellStyle name="Normal 3 3 7 5" xfId="28411" xr:uid="{00000000-0005-0000-0000-000029620000}"/>
    <cellStyle name="Normal 3 3 7 6" xfId="29333" xr:uid="{00000000-0005-0000-0000-00002A620000}"/>
    <cellStyle name="Normal 3 3 8" xfId="2545" xr:uid="{00000000-0005-0000-0000-00002B620000}"/>
    <cellStyle name="Normal 3 3 8 2" xfId="6936" xr:uid="{00000000-0005-0000-0000-00002C620000}"/>
    <cellStyle name="Normal 3 3 8 2 2" xfId="15757" xr:uid="{00000000-0005-0000-0000-00002D620000}"/>
    <cellStyle name="Normal 3 3 8 3" xfId="11350" xr:uid="{00000000-0005-0000-0000-00002E620000}"/>
    <cellStyle name="Normal 3 3 9" xfId="4732" xr:uid="{00000000-0005-0000-0000-00002F620000}"/>
    <cellStyle name="Normal 3 3 9 2" xfId="13553" xr:uid="{00000000-0005-0000-0000-000030620000}"/>
    <cellStyle name="Normal 3 4" xfId="98" xr:uid="{00000000-0005-0000-0000-000031620000}"/>
    <cellStyle name="Normal 3 4 10" xfId="9152" xr:uid="{00000000-0005-0000-0000-000032620000}"/>
    <cellStyle name="Normal 3 4 11" xfId="18117" xr:uid="{00000000-0005-0000-0000-000033620000}"/>
    <cellStyle name="Normal 3 4 12" xfId="28412" xr:uid="{00000000-0005-0000-0000-000034620000}"/>
    <cellStyle name="Normal 3 4 13" xfId="29334" xr:uid="{00000000-0005-0000-0000-000035620000}"/>
    <cellStyle name="Normal 3 4 2" xfId="200" xr:uid="{00000000-0005-0000-0000-000036620000}"/>
    <cellStyle name="Normal 3 4 2 10" xfId="28413" xr:uid="{00000000-0005-0000-0000-000037620000}"/>
    <cellStyle name="Normal 3 4 2 11" xfId="29335" xr:uid="{00000000-0005-0000-0000-000038620000}"/>
    <cellStyle name="Normal 3 4 2 2" xfId="407" xr:uid="{00000000-0005-0000-0000-000039620000}"/>
    <cellStyle name="Normal 3 4 2 2 10" xfId="29336" xr:uid="{00000000-0005-0000-0000-00003A620000}"/>
    <cellStyle name="Normal 3 4 2 2 2" xfId="900" xr:uid="{00000000-0005-0000-0000-00003B620000}"/>
    <cellStyle name="Normal 3 4 2 2 2 2" xfId="1343" xr:uid="{00000000-0005-0000-0000-00003C620000}"/>
    <cellStyle name="Normal 3 4 2 2 2 2 2" xfId="2517" xr:uid="{00000000-0005-0000-0000-00003D620000}"/>
    <cellStyle name="Normal 3 4 2 2 2 2 2 2" xfId="4688" xr:uid="{00000000-0005-0000-0000-00003E620000}"/>
    <cellStyle name="Normal 3 4 2 2 2 2 2 2 2" xfId="9111" xr:uid="{00000000-0005-0000-0000-00003F620000}"/>
    <cellStyle name="Normal 3 4 2 2 2 2 2 2 2 2" xfId="17932" xr:uid="{00000000-0005-0000-0000-000040620000}"/>
    <cellStyle name="Normal 3 4 2 2 2 2 2 2 3" xfId="13525" xr:uid="{00000000-0005-0000-0000-000041620000}"/>
    <cellStyle name="Normal 3 4 2 2 2 2 2 3" xfId="6906" xr:uid="{00000000-0005-0000-0000-000042620000}"/>
    <cellStyle name="Normal 3 4 2 2 2 2 2 3 2" xfId="15727" xr:uid="{00000000-0005-0000-0000-000043620000}"/>
    <cellStyle name="Normal 3 4 2 2 2 2 2 4" xfId="11320" xr:uid="{00000000-0005-0000-0000-000044620000}"/>
    <cellStyle name="Normal 3 4 2 2 2 2 3" xfId="2022" xr:uid="{00000000-0005-0000-0000-000045620000}"/>
    <cellStyle name="Normal 3 4 2 2 2 2 3 2" xfId="3979" xr:uid="{00000000-0005-0000-0000-000046620000}"/>
    <cellStyle name="Normal 3 4 2 2 2 2 3 2 2" xfId="8373" xr:uid="{00000000-0005-0000-0000-000047620000}"/>
    <cellStyle name="Normal 3 4 2 2 2 2 3 2 2 2" xfId="17194" xr:uid="{00000000-0005-0000-0000-000048620000}"/>
    <cellStyle name="Normal 3 4 2 2 2 2 3 2 3" xfId="12787" xr:uid="{00000000-0005-0000-0000-000049620000}"/>
    <cellStyle name="Normal 3 4 2 2 2 2 3 3" xfId="6168" xr:uid="{00000000-0005-0000-0000-00004A620000}"/>
    <cellStyle name="Normal 3 4 2 2 2 2 3 3 2" xfId="14989" xr:uid="{00000000-0005-0000-0000-00004B620000}"/>
    <cellStyle name="Normal 3 4 2 2 2 2 3 4" xfId="10582" xr:uid="{00000000-0005-0000-0000-00004C620000}"/>
    <cellStyle name="Normal 3 4 2 2 2 2 4" xfId="3242" xr:uid="{00000000-0005-0000-0000-00004D620000}"/>
    <cellStyle name="Normal 3 4 2 2 2 2 4 2" xfId="7636" xr:uid="{00000000-0005-0000-0000-00004E620000}"/>
    <cellStyle name="Normal 3 4 2 2 2 2 4 2 2" xfId="16457" xr:uid="{00000000-0005-0000-0000-00004F620000}"/>
    <cellStyle name="Normal 3 4 2 2 2 2 4 3" xfId="12050" xr:uid="{00000000-0005-0000-0000-000050620000}"/>
    <cellStyle name="Normal 3 4 2 2 2 2 5" xfId="5431" xr:uid="{00000000-0005-0000-0000-000051620000}"/>
    <cellStyle name="Normal 3 4 2 2 2 2 5 2" xfId="14252" xr:uid="{00000000-0005-0000-0000-000052620000}"/>
    <cellStyle name="Normal 3 4 2 2 2 2 6" xfId="9845" xr:uid="{00000000-0005-0000-0000-000053620000}"/>
    <cellStyle name="Normal 3 4 2 2 2 3" xfId="2256" xr:uid="{00000000-0005-0000-0000-000054620000}"/>
    <cellStyle name="Normal 3 4 2 2 2 3 2" xfId="4333" xr:uid="{00000000-0005-0000-0000-000055620000}"/>
    <cellStyle name="Normal 3 4 2 2 2 3 2 2" xfId="8742" xr:uid="{00000000-0005-0000-0000-000056620000}"/>
    <cellStyle name="Normal 3 4 2 2 2 3 2 2 2" xfId="17563" xr:uid="{00000000-0005-0000-0000-000057620000}"/>
    <cellStyle name="Normal 3 4 2 2 2 3 2 3" xfId="13156" xr:uid="{00000000-0005-0000-0000-000058620000}"/>
    <cellStyle name="Normal 3 4 2 2 2 3 3" xfId="6537" xr:uid="{00000000-0005-0000-0000-000059620000}"/>
    <cellStyle name="Normal 3 4 2 2 2 3 3 2" xfId="15358" xr:uid="{00000000-0005-0000-0000-00005A620000}"/>
    <cellStyle name="Normal 3 4 2 2 2 3 4" xfId="10951" xr:uid="{00000000-0005-0000-0000-00005B620000}"/>
    <cellStyle name="Normal 3 4 2 2 2 4" xfId="1667" xr:uid="{00000000-0005-0000-0000-00005C620000}"/>
    <cellStyle name="Normal 3 4 2 2 2 4 2" xfId="3610" xr:uid="{00000000-0005-0000-0000-00005D620000}"/>
    <cellStyle name="Normal 3 4 2 2 2 4 2 2" xfId="8004" xr:uid="{00000000-0005-0000-0000-00005E620000}"/>
    <cellStyle name="Normal 3 4 2 2 2 4 2 2 2" xfId="16825" xr:uid="{00000000-0005-0000-0000-00005F620000}"/>
    <cellStyle name="Normal 3 4 2 2 2 4 2 3" xfId="12418" xr:uid="{00000000-0005-0000-0000-000060620000}"/>
    <cellStyle name="Normal 3 4 2 2 2 4 3" xfId="5799" xr:uid="{00000000-0005-0000-0000-000061620000}"/>
    <cellStyle name="Normal 3 4 2 2 2 4 3 2" xfId="14620" xr:uid="{00000000-0005-0000-0000-000062620000}"/>
    <cellStyle name="Normal 3 4 2 2 2 4 4" xfId="10213" xr:uid="{00000000-0005-0000-0000-000063620000}"/>
    <cellStyle name="Normal 3 4 2 2 2 5" xfId="2873" xr:uid="{00000000-0005-0000-0000-000064620000}"/>
    <cellStyle name="Normal 3 4 2 2 2 5 2" xfId="7267" xr:uid="{00000000-0005-0000-0000-000065620000}"/>
    <cellStyle name="Normal 3 4 2 2 2 5 2 2" xfId="16088" xr:uid="{00000000-0005-0000-0000-000066620000}"/>
    <cellStyle name="Normal 3 4 2 2 2 5 3" xfId="11681" xr:uid="{00000000-0005-0000-0000-000067620000}"/>
    <cellStyle name="Normal 3 4 2 2 2 6" xfId="5062" xr:uid="{00000000-0005-0000-0000-000068620000}"/>
    <cellStyle name="Normal 3 4 2 2 2 6 2" xfId="13883" xr:uid="{00000000-0005-0000-0000-000069620000}"/>
    <cellStyle name="Normal 3 4 2 2 2 7" xfId="9476" xr:uid="{00000000-0005-0000-0000-00006A620000}"/>
    <cellStyle name="Normal 3 4 2 2 2 8" xfId="28415" xr:uid="{00000000-0005-0000-0000-00006B620000}"/>
    <cellStyle name="Normal 3 4 2 2 2 9" xfId="29337" xr:uid="{00000000-0005-0000-0000-00006C620000}"/>
    <cellStyle name="Normal 3 4 2 2 3" xfId="1196" xr:uid="{00000000-0005-0000-0000-00006D620000}"/>
    <cellStyle name="Normal 3 4 2 2 3 2" xfId="2386" xr:uid="{00000000-0005-0000-0000-00006E620000}"/>
    <cellStyle name="Normal 3 4 2 2 3 2 2" xfId="4504" xr:uid="{00000000-0005-0000-0000-00006F620000}"/>
    <cellStyle name="Normal 3 4 2 2 3 2 2 2" xfId="8926" xr:uid="{00000000-0005-0000-0000-000070620000}"/>
    <cellStyle name="Normal 3 4 2 2 3 2 2 2 2" xfId="17747" xr:uid="{00000000-0005-0000-0000-000071620000}"/>
    <cellStyle name="Normal 3 4 2 2 3 2 2 3" xfId="13340" xr:uid="{00000000-0005-0000-0000-000072620000}"/>
    <cellStyle name="Normal 3 4 2 2 3 2 3" xfId="6721" xr:uid="{00000000-0005-0000-0000-000073620000}"/>
    <cellStyle name="Normal 3 4 2 2 3 2 3 2" xfId="15542" xr:uid="{00000000-0005-0000-0000-000074620000}"/>
    <cellStyle name="Normal 3 4 2 2 3 2 4" xfId="11135" xr:uid="{00000000-0005-0000-0000-000075620000}"/>
    <cellStyle name="Normal 3 4 2 2 3 3" xfId="1838" xr:uid="{00000000-0005-0000-0000-000076620000}"/>
    <cellStyle name="Normal 3 4 2 2 3 3 2" xfId="3794" xr:uid="{00000000-0005-0000-0000-000077620000}"/>
    <cellStyle name="Normal 3 4 2 2 3 3 2 2" xfId="8188" xr:uid="{00000000-0005-0000-0000-000078620000}"/>
    <cellStyle name="Normal 3 4 2 2 3 3 2 2 2" xfId="17009" xr:uid="{00000000-0005-0000-0000-000079620000}"/>
    <cellStyle name="Normal 3 4 2 2 3 3 2 3" xfId="12602" xr:uid="{00000000-0005-0000-0000-00007A620000}"/>
    <cellStyle name="Normal 3 4 2 2 3 3 3" xfId="5983" xr:uid="{00000000-0005-0000-0000-00007B620000}"/>
    <cellStyle name="Normal 3 4 2 2 3 3 3 2" xfId="14804" xr:uid="{00000000-0005-0000-0000-00007C620000}"/>
    <cellStyle name="Normal 3 4 2 2 3 3 4" xfId="10397" xr:uid="{00000000-0005-0000-0000-00007D620000}"/>
    <cellStyle name="Normal 3 4 2 2 3 4" xfId="3057" xr:uid="{00000000-0005-0000-0000-00007E620000}"/>
    <cellStyle name="Normal 3 4 2 2 3 4 2" xfId="7451" xr:uid="{00000000-0005-0000-0000-00007F620000}"/>
    <cellStyle name="Normal 3 4 2 2 3 4 2 2" xfId="16272" xr:uid="{00000000-0005-0000-0000-000080620000}"/>
    <cellStyle name="Normal 3 4 2 2 3 4 3" xfId="11865" xr:uid="{00000000-0005-0000-0000-000081620000}"/>
    <cellStyle name="Normal 3 4 2 2 3 5" xfId="5246" xr:uid="{00000000-0005-0000-0000-000082620000}"/>
    <cellStyle name="Normal 3 4 2 2 3 5 2" xfId="14067" xr:uid="{00000000-0005-0000-0000-000083620000}"/>
    <cellStyle name="Normal 3 4 2 2 3 6" xfId="9660" xr:uid="{00000000-0005-0000-0000-000084620000}"/>
    <cellStyle name="Normal 3 4 2 2 4" xfId="2125" xr:uid="{00000000-0005-0000-0000-000085620000}"/>
    <cellStyle name="Normal 3 4 2 2 4 2" xfId="4149" xr:uid="{00000000-0005-0000-0000-000086620000}"/>
    <cellStyle name="Normal 3 4 2 2 4 2 2" xfId="8557" xr:uid="{00000000-0005-0000-0000-000087620000}"/>
    <cellStyle name="Normal 3 4 2 2 4 2 2 2" xfId="17378" xr:uid="{00000000-0005-0000-0000-000088620000}"/>
    <cellStyle name="Normal 3 4 2 2 4 2 3" xfId="12971" xr:uid="{00000000-0005-0000-0000-000089620000}"/>
    <cellStyle name="Normal 3 4 2 2 4 3" xfId="6352" xr:uid="{00000000-0005-0000-0000-00008A620000}"/>
    <cellStyle name="Normal 3 4 2 2 4 3 2" xfId="15173" xr:uid="{00000000-0005-0000-0000-00008B620000}"/>
    <cellStyle name="Normal 3 4 2 2 4 4" xfId="10766" xr:uid="{00000000-0005-0000-0000-00008C620000}"/>
    <cellStyle name="Normal 3 4 2 2 5" xfId="1483" xr:uid="{00000000-0005-0000-0000-00008D620000}"/>
    <cellStyle name="Normal 3 4 2 2 5 2" xfId="3425" xr:uid="{00000000-0005-0000-0000-00008E620000}"/>
    <cellStyle name="Normal 3 4 2 2 5 2 2" xfId="7819" xr:uid="{00000000-0005-0000-0000-00008F620000}"/>
    <cellStyle name="Normal 3 4 2 2 5 2 2 2" xfId="16640" xr:uid="{00000000-0005-0000-0000-000090620000}"/>
    <cellStyle name="Normal 3 4 2 2 5 2 3" xfId="12233" xr:uid="{00000000-0005-0000-0000-000091620000}"/>
    <cellStyle name="Normal 3 4 2 2 5 3" xfId="5614" xr:uid="{00000000-0005-0000-0000-000092620000}"/>
    <cellStyle name="Normal 3 4 2 2 5 3 2" xfId="14435" xr:uid="{00000000-0005-0000-0000-000093620000}"/>
    <cellStyle name="Normal 3 4 2 2 5 4" xfId="10028" xr:uid="{00000000-0005-0000-0000-000094620000}"/>
    <cellStyle name="Normal 3 4 2 2 6" xfId="2689" xr:uid="{00000000-0005-0000-0000-000095620000}"/>
    <cellStyle name="Normal 3 4 2 2 6 2" xfId="7082" xr:uid="{00000000-0005-0000-0000-000096620000}"/>
    <cellStyle name="Normal 3 4 2 2 6 2 2" xfId="15903" xr:uid="{00000000-0005-0000-0000-000097620000}"/>
    <cellStyle name="Normal 3 4 2 2 6 3" xfId="11496" xr:uid="{00000000-0005-0000-0000-000098620000}"/>
    <cellStyle name="Normal 3 4 2 2 7" xfId="4877" xr:uid="{00000000-0005-0000-0000-000099620000}"/>
    <cellStyle name="Normal 3 4 2 2 7 2" xfId="13698" xr:uid="{00000000-0005-0000-0000-00009A620000}"/>
    <cellStyle name="Normal 3 4 2 2 8" xfId="9291" xr:uid="{00000000-0005-0000-0000-00009B620000}"/>
    <cellStyle name="Normal 3 4 2 2 9" xfId="28414" xr:uid="{00000000-0005-0000-0000-00009C620000}"/>
    <cellStyle name="Normal 3 4 2 3" xfId="741" xr:uid="{00000000-0005-0000-0000-00009D620000}"/>
    <cellStyle name="Normal 3 4 2 3 2" xfId="1188" xr:uid="{00000000-0005-0000-0000-00009E620000}"/>
    <cellStyle name="Normal 3 4 2 3 2 2" xfId="2452" xr:uid="{00000000-0005-0000-0000-00009F620000}"/>
    <cellStyle name="Normal 3 4 2 3 2 2 2" xfId="4596" xr:uid="{00000000-0005-0000-0000-0000A0620000}"/>
    <cellStyle name="Normal 3 4 2 3 2 2 2 2" xfId="9019" xr:uid="{00000000-0005-0000-0000-0000A1620000}"/>
    <cellStyle name="Normal 3 4 2 3 2 2 2 2 2" xfId="17840" xr:uid="{00000000-0005-0000-0000-0000A2620000}"/>
    <cellStyle name="Normal 3 4 2 3 2 2 2 3" xfId="13433" xr:uid="{00000000-0005-0000-0000-0000A3620000}"/>
    <cellStyle name="Normal 3 4 2 3 2 2 3" xfId="6814" xr:uid="{00000000-0005-0000-0000-0000A4620000}"/>
    <cellStyle name="Normal 3 4 2 3 2 2 3 2" xfId="15635" xr:uid="{00000000-0005-0000-0000-0000A5620000}"/>
    <cellStyle name="Normal 3 4 2 3 2 2 4" xfId="11228" xr:uid="{00000000-0005-0000-0000-0000A6620000}"/>
    <cellStyle name="Normal 3 4 2 3 2 3" xfId="1930" xr:uid="{00000000-0005-0000-0000-0000A7620000}"/>
    <cellStyle name="Normal 3 4 2 3 2 3 2" xfId="3887" xr:uid="{00000000-0005-0000-0000-0000A8620000}"/>
    <cellStyle name="Normal 3 4 2 3 2 3 2 2" xfId="8281" xr:uid="{00000000-0005-0000-0000-0000A9620000}"/>
    <cellStyle name="Normal 3 4 2 3 2 3 2 2 2" xfId="17102" xr:uid="{00000000-0005-0000-0000-0000AA620000}"/>
    <cellStyle name="Normal 3 4 2 3 2 3 2 3" xfId="12695" xr:uid="{00000000-0005-0000-0000-0000AB620000}"/>
    <cellStyle name="Normal 3 4 2 3 2 3 3" xfId="6076" xr:uid="{00000000-0005-0000-0000-0000AC620000}"/>
    <cellStyle name="Normal 3 4 2 3 2 3 3 2" xfId="14897" xr:uid="{00000000-0005-0000-0000-0000AD620000}"/>
    <cellStyle name="Normal 3 4 2 3 2 3 4" xfId="10490" xr:uid="{00000000-0005-0000-0000-0000AE620000}"/>
    <cellStyle name="Normal 3 4 2 3 2 4" xfId="3150" xr:uid="{00000000-0005-0000-0000-0000AF620000}"/>
    <cellStyle name="Normal 3 4 2 3 2 4 2" xfId="7544" xr:uid="{00000000-0005-0000-0000-0000B0620000}"/>
    <cellStyle name="Normal 3 4 2 3 2 4 2 2" xfId="16365" xr:uid="{00000000-0005-0000-0000-0000B1620000}"/>
    <cellStyle name="Normal 3 4 2 3 2 4 3" xfId="11958" xr:uid="{00000000-0005-0000-0000-0000B2620000}"/>
    <cellStyle name="Normal 3 4 2 3 2 5" xfId="5339" xr:uid="{00000000-0005-0000-0000-0000B3620000}"/>
    <cellStyle name="Normal 3 4 2 3 2 5 2" xfId="14160" xr:uid="{00000000-0005-0000-0000-0000B4620000}"/>
    <cellStyle name="Normal 3 4 2 3 2 6" xfId="9753" xr:uid="{00000000-0005-0000-0000-0000B5620000}"/>
    <cellStyle name="Normal 3 4 2 3 3" xfId="2191" xr:uid="{00000000-0005-0000-0000-0000B6620000}"/>
    <cellStyle name="Normal 3 4 2 3 3 2" xfId="4241" xr:uid="{00000000-0005-0000-0000-0000B7620000}"/>
    <cellStyle name="Normal 3 4 2 3 3 2 2" xfId="8650" xr:uid="{00000000-0005-0000-0000-0000B8620000}"/>
    <cellStyle name="Normal 3 4 2 3 3 2 2 2" xfId="17471" xr:uid="{00000000-0005-0000-0000-0000B9620000}"/>
    <cellStyle name="Normal 3 4 2 3 3 2 3" xfId="13064" xr:uid="{00000000-0005-0000-0000-0000BA620000}"/>
    <cellStyle name="Normal 3 4 2 3 3 3" xfId="6445" xr:uid="{00000000-0005-0000-0000-0000BB620000}"/>
    <cellStyle name="Normal 3 4 2 3 3 3 2" xfId="15266" xr:uid="{00000000-0005-0000-0000-0000BC620000}"/>
    <cellStyle name="Normal 3 4 2 3 3 4" xfId="10859" xr:uid="{00000000-0005-0000-0000-0000BD620000}"/>
    <cellStyle name="Normal 3 4 2 3 4" xfId="1575" xr:uid="{00000000-0005-0000-0000-0000BE620000}"/>
    <cellStyle name="Normal 3 4 2 3 4 2" xfId="3518" xr:uid="{00000000-0005-0000-0000-0000BF620000}"/>
    <cellStyle name="Normal 3 4 2 3 4 2 2" xfId="7912" xr:uid="{00000000-0005-0000-0000-0000C0620000}"/>
    <cellStyle name="Normal 3 4 2 3 4 2 2 2" xfId="16733" xr:uid="{00000000-0005-0000-0000-0000C1620000}"/>
    <cellStyle name="Normal 3 4 2 3 4 2 3" xfId="12326" xr:uid="{00000000-0005-0000-0000-0000C2620000}"/>
    <cellStyle name="Normal 3 4 2 3 4 3" xfId="5707" xr:uid="{00000000-0005-0000-0000-0000C3620000}"/>
    <cellStyle name="Normal 3 4 2 3 4 3 2" xfId="14528" xr:uid="{00000000-0005-0000-0000-0000C4620000}"/>
    <cellStyle name="Normal 3 4 2 3 4 4" xfId="10121" xr:uid="{00000000-0005-0000-0000-0000C5620000}"/>
    <cellStyle name="Normal 3 4 2 3 5" xfId="2781" xr:uid="{00000000-0005-0000-0000-0000C6620000}"/>
    <cellStyle name="Normal 3 4 2 3 5 2" xfId="7175" xr:uid="{00000000-0005-0000-0000-0000C7620000}"/>
    <cellStyle name="Normal 3 4 2 3 5 2 2" xfId="15996" xr:uid="{00000000-0005-0000-0000-0000C8620000}"/>
    <cellStyle name="Normal 3 4 2 3 5 3" xfId="11589" xr:uid="{00000000-0005-0000-0000-0000C9620000}"/>
    <cellStyle name="Normal 3 4 2 3 6" xfId="4970" xr:uid="{00000000-0005-0000-0000-0000CA620000}"/>
    <cellStyle name="Normal 3 4 2 3 6 2" xfId="13791" xr:uid="{00000000-0005-0000-0000-0000CB620000}"/>
    <cellStyle name="Normal 3 4 2 3 7" xfId="9384" xr:uid="{00000000-0005-0000-0000-0000CC620000}"/>
    <cellStyle name="Normal 3 4 2 3 8" xfId="28416" xr:uid="{00000000-0005-0000-0000-0000CD620000}"/>
    <cellStyle name="Normal 3 4 2 3 9" xfId="29338" xr:uid="{00000000-0005-0000-0000-0000CE620000}"/>
    <cellStyle name="Normal 3 4 2 4" xfId="1096" xr:uid="{00000000-0005-0000-0000-0000CF620000}"/>
    <cellStyle name="Normal 3 4 2 4 2" xfId="2321" xr:uid="{00000000-0005-0000-0000-0000D0620000}"/>
    <cellStyle name="Normal 3 4 2 4 2 2" xfId="4412" xr:uid="{00000000-0005-0000-0000-0000D1620000}"/>
    <cellStyle name="Normal 3 4 2 4 2 2 2" xfId="8834" xr:uid="{00000000-0005-0000-0000-0000D2620000}"/>
    <cellStyle name="Normal 3 4 2 4 2 2 2 2" xfId="17655" xr:uid="{00000000-0005-0000-0000-0000D3620000}"/>
    <cellStyle name="Normal 3 4 2 4 2 2 3" xfId="13248" xr:uid="{00000000-0005-0000-0000-0000D4620000}"/>
    <cellStyle name="Normal 3 4 2 4 2 3" xfId="6629" xr:uid="{00000000-0005-0000-0000-0000D5620000}"/>
    <cellStyle name="Normal 3 4 2 4 2 3 2" xfId="15450" xr:uid="{00000000-0005-0000-0000-0000D6620000}"/>
    <cellStyle name="Normal 3 4 2 4 2 4" xfId="11043" xr:uid="{00000000-0005-0000-0000-0000D7620000}"/>
    <cellStyle name="Normal 3 4 2 4 3" xfId="1746" xr:uid="{00000000-0005-0000-0000-0000D8620000}"/>
    <cellStyle name="Normal 3 4 2 4 3 2" xfId="3702" xr:uid="{00000000-0005-0000-0000-0000D9620000}"/>
    <cellStyle name="Normal 3 4 2 4 3 2 2" xfId="8096" xr:uid="{00000000-0005-0000-0000-0000DA620000}"/>
    <cellStyle name="Normal 3 4 2 4 3 2 2 2" xfId="16917" xr:uid="{00000000-0005-0000-0000-0000DB620000}"/>
    <cellStyle name="Normal 3 4 2 4 3 2 3" xfId="12510" xr:uid="{00000000-0005-0000-0000-0000DC620000}"/>
    <cellStyle name="Normal 3 4 2 4 3 3" xfId="5891" xr:uid="{00000000-0005-0000-0000-0000DD620000}"/>
    <cellStyle name="Normal 3 4 2 4 3 3 2" xfId="14712" xr:uid="{00000000-0005-0000-0000-0000DE620000}"/>
    <cellStyle name="Normal 3 4 2 4 3 4" xfId="10305" xr:uid="{00000000-0005-0000-0000-0000DF620000}"/>
    <cellStyle name="Normal 3 4 2 4 4" xfId="2965" xr:uid="{00000000-0005-0000-0000-0000E0620000}"/>
    <cellStyle name="Normal 3 4 2 4 4 2" xfId="7359" xr:uid="{00000000-0005-0000-0000-0000E1620000}"/>
    <cellStyle name="Normal 3 4 2 4 4 2 2" xfId="16180" xr:uid="{00000000-0005-0000-0000-0000E2620000}"/>
    <cellStyle name="Normal 3 4 2 4 4 3" xfId="11773" xr:uid="{00000000-0005-0000-0000-0000E3620000}"/>
    <cellStyle name="Normal 3 4 2 4 5" xfId="5154" xr:uid="{00000000-0005-0000-0000-0000E4620000}"/>
    <cellStyle name="Normal 3 4 2 4 5 2" xfId="13975" xr:uid="{00000000-0005-0000-0000-0000E5620000}"/>
    <cellStyle name="Normal 3 4 2 4 6" xfId="9568" xr:uid="{00000000-0005-0000-0000-0000E6620000}"/>
    <cellStyle name="Normal 3 4 2 5" xfId="2060" xr:uid="{00000000-0005-0000-0000-0000E7620000}"/>
    <cellStyle name="Normal 3 4 2 5 2" xfId="4057" xr:uid="{00000000-0005-0000-0000-0000E8620000}"/>
    <cellStyle name="Normal 3 4 2 5 2 2" xfId="8465" xr:uid="{00000000-0005-0000-0000-0000E9620000}"/>
    <cellStyle name="Normal 3 4 2 5 2 2 2" xfId="17286" xr:uid="{00000000-0005-0000-0000-0000EA620000}"/>
    <cellStyle name="Normal 3 4 2 5 2 3" xfId="12879" xr:uid="{00000000-0005-0000-0000-0000EB620000}"/>
    <cellStyle name="Normal 3 4 2 5 3" xfId="6260" xr:uid="{00000000-0005-0000-0000-0000EC620000}"/>
    <cellStyle name="Normal 3 4 2 5 3 2" xfId="15081" xr:uid="{00000000-0005-0000-0000-0000ED620000}"/>
    <cellStyle name="Normal 3 4 2 5 4" xfId="10674" xr:uid="{00000000-0005-0000-0000-0000EE620000}"/>
    <cellStyle name="Normal 3 4 2 6" xfId="1418" xr:uid="{00000000-0005-0000-0000-0000EF620000}"/>
    <cellStyle name="Normal 3 4 2 6 2" xfId="3333" xr:uid="{00000000-0005-0000-0000-0000F0620000}"/>
    <cellStyle name="Normal 3 4 2 6 2 2" xfId="7727" xr:uid="{00000000-0005-0000-0000-0000F1620000}"/>
    <cellStyle name="Normal 3 4 2 6 2 2 2" xfId="16548" xr:uid="{00000000-0005-0000-0000-0000F2620000}"/>
    <cellStyle name="Normal 3 4 2 6 2 3" xfId="12141" xr:uid="{00000000-0005-0000-0000-0000F3620000}"/>
    <cellStyle name="Normal 3 4 2 6 3" xfId="5522" xr:uid="{00000000-0005-0000-0000-0000F4620000}"/>
    <cellStyle name="Normal 3 4 2 6 3 2" xfId="14343" xr:uid="{00000000-0005-0000-0000-0000F5620000}"/>
    <cellStyle name="Normal 3 4 2 6 4" xfId="9936" xr:uid="{00000000-0005-0000-0000-0000F6620000}"/>
    <cellStyle name="Normal 3 4 2 7" xfId="2597" xr:uid="{00000000-0005-0000-0000-0000F7620000}"/>
    <cellStyle name="Normal 3 4 2 7 2" xfId="6990" xr:uid="{00000000-0005-0000-0000-0000F8620000}"/>
    <cellStyle name="Normal 3 4 2 7 2 2" xfId="15811" xr:uid="{00000000-0005-0000-0000-0000F9620000}"/>
    <cellStyle name="Normal 3 4 2 7 3" xfId="11404" xr:uid="{00000000-0005-0000-0000-0000FA620000}"/>
    <cellStyle name="Normal 3 4 2 8" xfId="4785" xr:uid="{00000000-0005-0000-0000-0000FB620000}"/>
    <cellStyle name="Normal 3 4 2 8 2" xfId="13606" xr:uid="{00000000-0005-0000-0000-0000FC620000}"/>
    <cellStyle name="Normal 3 4 2 9" xfId="9199" xr:uid="{00000000-0005-0000-0000-0000FD620000}"/>
    <cellStyle name="Normal 3 4 3" xfId="314" xr:uid="{00000000-0005-0000-0000-0000FE620000}"/>
    <cellStyle name="Normal 3 4 3 10" xfId="29339" xr:uid="{00000000-0005-0000-0000-0000FF620000}"/>
    <cellStyle name="Normal 3 4 3 2" xfId="807" xr:uid="{00000000-0005-0000-0000-000000630000}"/>
    <cellStyle name="Normal 3 4 3 2 2" xfId="1172" xr:uid="{00000000-0005-0000-0000-000001630000}"/>
    <cellStyle name="Normal 3 4 3 2 2 2" xfId="2471" xr:uid="{00000000-0005-0000-0000-000002630000}"/>
    <cellStyle name="Normal 3 4 3 2 2 2 2" xfId="4641" xr:uid="{00000000-0005-0000-0000-000003630000}"/>
    <cellStyle name="Normal 3 4 3 2 2 2 2 2" xfId="9064" xr:uid="{00000000-0005-0000-0000-000004630000}"/>
    <cellStyle name="Normal 3 4 3 2 2 2 2 2 2" xfId="17885" xr:uid="{00000000-0005-0000-0000-000005630000}"/>
    <cellStyle name="Normal 3 4 3 2 2 2 2 3" xfId="13478" xr:uid="{00000000-0005-0000-0000-000006630000}"/>
    <cellStyle name="Normal 3 4 3 2 2 2 3" xfId="6859" xr:uid="{00000000-0005-0000-0000-000007630000}"/>
    <cellStyle name="Normal 3 4 3 2 2 2 3 2" xfId="15680" xr:uid="{00000000-0005-0000-0000-000008630000}"/>
    <cellStyle name="Normal 3 4 3 2 2 2 4" xfId="11273" xr:uid="{00000000-0005-0000-0000-000009630000}"/>
    <cellStyle name="Normal 3 4 3 2 2 3" xfId="1975" xr:uid="{00000000-0005-0000-0000-00000A630000}"/>
    <cellStyle name="Normal 3 4 3 2 2 3 2" xfId="3932" xr:uid="{00000000-0005-0000-0000-00000B630000}"/>
    <cellStyle name="Normal 3 4 3 2 2 3 2 2" xfId="8326" xr:uid="{00000000-0005-0000-0000-00000C630000}"/>
    <cellStyle name="Normal 3 4 3 2 2 3 2 2 2" xfId="17147" xr:uid="{00000000-0005-0000-0000-00000D630000}"/>
    <cellStyle name="Normal 3 4 3 2 2 3 2 3" xfId="12740" xr:uid="{00000000-0005-0000-0000-00000E630000}"/>
    <cellStyle name="Normal 3 4 3 2 2 3 3" xfId="6121" xr:uid="{00000000-0005-0000-0000-00000F630000}"/>
    <cellStyle name="Normal 3 4 3 2 2 3 3 2" xfId="14942" xr:uid="{00000000-0005-0000-0000-000010630000}"/>
    <cellStyle name="Normal 3 4 3 2 2 3 4" xfId="10535" xr:uid="{00000000-0005-0000-0000-000011630000}"/>
    <cellStyle name="Normal 3 4 3 2 2 4" xfId="3195" xr:uid="{00000000-0005-0000-0000-000012630000}"/>
    <cellStyle name="Normal 3 4 3 2 2 4 2" xfId="7589" xr:uid="{00000000-0005-0000-0000-000013630000}"/>
    <cellStyle name="Normal 3 4 3 2 2 4 2 2" xfId="16410" xr:uid="{00000000-0005-0000-0000-000014630000}"/>
    <cellStyle name="Normal 3 4 3 2 2 4 3" xfId="12003" xr:uid="{00000000-0005-0000-0000-000015630000}"/>
    <cellStyle name="Normal 3 4 3 2 2 5" xfId="5384" xr:uid="{00000000-0005-0000-0000-000016630000}"/>
    <cellStyle name="Normal 3 4 3 2 2 5 2" xfId="14205" xr:uid="{00000000-0005-0000-0000-000017630000}"/>
    <cellStyle name="Normal 3 4 3 2 2 6" xfId="9798" xr:uid="{00000000-0005-0000-0000-000018630000}"/>
    <cellStyle name="Normal 3 4 3 2 3" xfId="2210" xr:uid="{00000000-0005-0000-0000-000019630000}"/>
    <cellStyle name="Normal 3 4 3 2 3 2" xfId="4286" xr:uid="{00000000-0005-0000-0000-00001A630000}"/>
    <cellStyle name="Normal 3 4 3 2 3 2 2" xfId="8695" xr:uid="{00000000-0005-0000-0000-00001B630000}"/>
    <cellStyle name="Normal 3 4 3 2 3 2 2 2" xfId="17516" xr:uid="{00000000-0005-0000-0000-00001C630000}"/>
    <cellStyle name="Normal 3 4 3 2 3 2 3" xfId="13109" xr:uid="{00000000-0005-0000-0000-00001D630000}"/>
    <cellStyle name="Normal 3 4 3 2 3 3" xfId="6490" xr:uid="{00000000-0005-0000-0000-00001E630000}"/>
    <cellStyle name="Normal 3 4 3 2 3 3 2" xfId="15311" xr:uid="{00000000-0005-0000-0000-00001F630000}"/>
    <cellStyle name="Normal 3 4 3 2 3 4" xfId="10904" xr:uid="{00000000-0005-0000-0000-000020630000}"/>
    <cellStyle name="Normal 3 4 3 2 4" xfId="1620" xr:uid="{00000000-0005-0000-0000-000021630000}"/>
    <cellStyle name="Normal 3 4 3 2 4 2" xfId="3563" xr:uid="{00000000-0005-0000-0000-000022630000}"/>
    <cellStyle name="Normal 3 4 3 2 4 2 2" xfId="7957" xr:uid="{00000000-0005-0000-0000-000023630000}"/>
    <cellStyle name="Normal 3 4 3 2 4 2 2 2" xfId="16778" xr:uid="{00000000-0005-0000-0000-000024630000}"/>
    <cellStyle name="Normal 3 4 3 2 4 2 3" xfId="12371" xr:uid="{00000000-0005-0000-0000-000025630000}"/>
    <cellStyle name="Normal 3 4 3 2 4 3" xfId="5752" xr:uid="{00000000-0005-0000-0000-000026630000}"/>
    <cellStyle name="Normal 3 4 3 2 4 3 2" xfId="14573" xr:uid="{00000000-0005-0000-0000-000027630000}"/>
    <cellStyle name="Normal 3 4 3 2 4 4" xfId="10166" xr:uid="{00000000-0005-0000-0000-000028630000}"/>
    <cellStyle name="Normal 3 4 3 2 5" xfId="2826" xr:uid="{00000000-0005-0000-0000-000029630000}"/>
    <cellStyle name="Normal 3 4 3 2 5 2" xfId="7220" xr:uid="{00000000-0005-0000-0000-00002A630000}"/>
    <cellStyle name="Normal 3 4 3 2 5 2 2" xfId="16041" xr:uid="{00000000-0005-0000-0000-00002B630000}"/>
    <cellStyle name="Normal 3 4 3 2 5 3" xfId="11634" xr:uid="{00000000-0005-0000-0000-00002C630000}"/>
    <cellStyle name="Normal 3 4 3 2 6" xfId="5015" xr:uid="{00000000-0005-0000-0000-00002D630000}"/>
    <cellStyle name="Normal 3 4 3 2 6 2" xfId="13836" xr:uid="{00000000-0005-0000-0000-00002E630000}"/>
    <cellStyle name="Normal 3 4 3 2 7" xfId="9429" xr:uid="{00000000-0005-0000-0000-00002F630000}"/>
    <cellStyle name="Normal 3 4 3 2 8" xfId="28418" xr:uid="{00000000-0005-0000-0000-000030630000}"/>
    <cellStyle name="Normal 3 4 3 2 9" xfId="29340" xr:uid="{00000000-0005-0000-0000-000031630000}"/>
    <cellStyle name="Normal 3 4 3 3" xfId="1079" xr:uid="{00000000-0005-0000-0000-000032630000}"/>
    <cellStyle name="Normal 3 4 3 3 2" xfId="2340" xr:uid="{00000000-0005-0000-0000-000033630000}"/>
    <cellStyle name="Normal 3 4 3 3 2 2" xfId="4457" xr:uid="{00000000-0005-0000-0000-000034630000}"/>
    <cellStyle name="Normal 3 4 3 3 2 2 2" xfId="8879" xr:uid="{00000000-0005-0000-0000-000035630000}"/>
    <cellStyle name="Normal 3 4 3 3 2 2 2 2" xfId="17700" xr:uid="{00000000-0005-0000-0000-000036630000}"/>
    <cellStyle name="Normal 3 4 3 3 2 2 3" xfId="13293" xr:uid="{00000000-0005-0000-0000-000037630000}"/>
    <cellStyle name="Normal 3 4 3 3 2 3" xfId="6674" xr:uid="{00000000-0005-0000-0000-000038630000}"/>
    <cellStyle name="Normal 3 4 3 3 2 3 2" xfId="15495" xr:uid="{00000000-0005-0000-0000-000039630000}"/>
    <cellStyle name="Normal 3 4 3 3 2 4" xfId="11088" xr:uid="{00000000-0005-0000-0000-00003A630000}"/>
    <cellStyle name="Normal 3 4 3 3 3" xfId="1791" xr:uid="{00000000-0005-0000-0000-00003B630000}"/>
    <cellStyle name="Normal 3 4 3 3 3 2" xfId="3747" xr:uid="{00000000-0005-0000-0000-00003C630000}"/>
    <cellStyle name="Normal 3 4 3 3 3 2 2" xfId="8141" xr:uid="{00000000-0005-0000-0000-00003D630000}"/>
    <cellStyle name="Normal 3 4 3 3 3 2 2 2" xfId="16962" xr:uid="{00000000-0005-0000-0000-00003E630000}"/>
    <cellStyle name="Normal 3 4 3 3 3 2 3" xfId="12555" xr:uid="{00000000-0005-0000-0000-00003F630000}"/>
    <cellStyle name="Normal 3 4 3 3 3 3" xfId="5936" xr:uid="{00000000-0005-0000-0000-000040630000}"/>
    <cellStyle name="Normal 3 4 3 3 3 3 2" xfId="14757" xr:uid="{00000000-0005-0000-0000-000041630000}"/>
    <cellStyle name="Normal 3 4 3 3 3 4" xfId="10350" xr:uid="{00000000-0005-0000-0000-000042630000}"/>
    <cellStyle name="Normal 3 4 3 3 4" xfId="3010" xr:uid="{00000000-0005-0000-0000-000043630000}"/>
    <cellStyle name="Normal 3 4 3 3 4 2" xfId="7404" xr:uid="{00000000-0005-0000-0000-000044630000}"/>
    <cellStyle name="Normal 3 4 3 3 4 2 2" xfId="16225" xr:uid="{00000000-0005-0000-0000-000045630000}"/>
    <cellStyle name="Normal 3 4 3 3 4 3" xfId="11818" xr:uid="{00000000-0005-0000-0000-000046630000}"/>
    <cellStyle name="Normal 3 4 3 3 5" xfId="5199" xr:uid="{00000000-0005-0000-0000-000047630000}"/>
    <cellStyle name="Normal 3 4 3 3 5 2" xfId="14020" xr:uid="{00000000-0005-0000-0000-000048630000}"/>
    <cellStyle name="Normal 3 4 3 3 6" xfId="9613" xr:uid="{00000000-0005-0000-0000-000049630000}"/>
    <cellStyle name="Normal 3 4 3 4" xfId="2079" xr:uid="{00000000-0005-0000-0000-00004A630000}"/>
    <cellStyle name="Normal 3 4 3 4 2" xfId="4102" xr:uid="{00000000-0005-0000-0000-00004B630000}"/>
    <cellStyle name="Normal 3 4 3 4 2 2" xfId="8510" xr:uid="{00000000-0005-0000-0000-00004C630000}"/>
    <cellStyle name="Normal 3 4 3 4 2 2 2" xfId="17331" xr:uid="{00000000-0005-0000-0000-00004D630000}"/>
    <cellStyle name="Normal 3 4 3 4 2 3" xfId="12924" xr:uid="{00000000-0005-0000-0000-00004E630000}"/>
    <cellStyle name="Normal 3 4 3 4 3" xfId="6305" xr:uid="{00000000-0005-0000-0000-00004F630000}"/>
    <cellStyle name="Normal 3 4 3 4 3 2" xfId="15126" xr:uid="{00000000-0005-0000-0000-000050630000}"/>
    <cellStyle name="Normal 3 4 3 4 4" xfId="10719" xr:uid="{00000000-0005-0000-0000-000051630000}"/>
    <cellStyle name="Normal 3 4 3 5" xfId="1437" xr:uid="{00000000-0005-0000-0000-000052630000}"/>
    <cellStyle name="Normal 3 4 3 5 2" xfId="3378" xr:uid="{00000000-0005-0000-0000-000053630000}"/>
    <cellStyle name="Normal 3 4 3 5 2 2" xfId="7772" xr:uid="{00000000-0005-0000-0000-000054630000}"/>
    <cellStyle name="Normal 3 4 3 5 2 2 2" xfId="16593" xr:uid="{00000000-0005-0000-0000-000055630000}"/>
    <cellStyle name="Normal 3 4 3 5 2 3" xfId="12186" xr:uid="{00000000-0005-0000-0000-000056630000}"/>
    <cellStyle name="Normal 3 4 3 5 3" xfId="5567" xr:uid="{00000000-0005-0000-0000-000057630000}"/>
    <cellStyle name="Normal 3 4 3 5 3 2" xfId="14388" xr:uid="{00000000-0005-0000-0000-000058630000}"/>
    <cellStyle name="Normal 3 4 3 5 4" xfId="9981" xr:uid="{00000000-0005-0000-0000-000059630000}"/>
    <cellStyle name="Normal 3 4 3 6" xfId="2642" xr:uid="{00000000-0005-0000-0000-00005A630000}"/>
    <cellStyle name="Normal 3 4 3 6 2" xfId="7035" xr:uid="{00000000-0005-0000-0000-00005B630000}"/>
    <cellStyle name="Normal 3 4 3 6 2 2" xfId="15856" xr:uid="{00000000-0005-0000-0000-00005C630000}"/>
    <cellStyle name="Normal 3 4 3 6 3" xfId="11449" xr:uid="{00000000-0005-0000-0000-00005D630000}"/>
    <cellStyle name="Normal 3 4 3 7" xfId="4830" xr:uid="{00000000-0005-0000-0000-00005E630000}"/>
    <cellStyle name="Normal 3 4 3 7 2" xfId="13651" xr:uid="{00000000-0005-0000-0000-00005F630000}"/>
    <cellStyle name="Normal 3 4 3 8" xfId="9244" xr:uid="{00000000-0005-0000-0000-000060630000}"/>
    <cellStyle name="Normal 3 4 3 9" xfId="28417" xr:uid="{00000000-0005-0000-0000-000061630000}"/>
    <cellStyle name="Normal 3 4 4" xfId="740" xr:uid="{00000000-0005-0000-0000-000062630000}"/>
    <cellStyle name="Normal 3 4 4 2" xfId="1072" xr:uid="{00000000-0005-0000-0000-000063630000}"/>
    <cellStyle name="Normal 3 4 4 2 2" xfId="2406" xr:uid="{00000000-0005-0000-0000-000064630000}"/>
    <cellStyle name="Normal 3 4 4 2 2 2" xfId="4550" xr:uid="{00000000-0005-0000-0000-000065630000}"/>
    <cellStyle name="Normal 3 4 4 2 2 2 2" xfId="8972" xr:uid="{00000000-0005-0000-0000-000066630000}"/>
    <cellStyle name="Normal 3 4 4 2 2 2 2 2" xfId="17793" xr:uid="{00000000-0005-0000-0000-000067630000}"/>
    <cellStyle name="Normal 3 4 4 2 2 2 3" xfId="13386" xr:uid="{00000000-0005-0000-0000-000068630000}"/>
    <cellStyle name="Normal 3 4 4 2 2 3" xfId="6767" xr:uid="{00000000-0005-0000-0000-000069630000}"/>
    <cellStyle name="Normal 3 4 4 2 2 3 2" xfId="15588" xr:uid="{00000000-0005-0000-0000-00006A630000}"/>
    <cellStyle name="Normal 3 4 4 2 2 4" xfId="11181" xr:uid="{00000000-0005-0000-0000-00006B630000}"/>
    <cellStyle name="Normal 3 4 4 2 3" xfId="1884" xr:uid="{00000000-0005-0000-0000-00006C630000}"/>
    <cellStyle name="Normal 3 4 4 2 3 2" xfId="3840" xr:uid="{00000000-0005-0000-0000-00006D630000}"/>
    <cellStyle name="Normal 3 4 4 2 3 2 2" xfId="8234" xr:uid="{00000000-0005-0000-0000-00006E630000}"/>
    <cellStyle name="Normal 3 4 4 2 3 2 2 2" xfId="17055" xr:uid="{00000000-0005-0000-0000-00006F630000}"/>
    <cellStyle name="Normal 3 4 4 2 3 2 3" xfId="12648" xr:uid="{00000000-0005-0000-0000-000070630000}"/>
    <cellStyle name="Normal 3 4 4 2 3 3" xfId="6029" xr:uid="{00000000-0005-0000-0000-000071630000}"/>
    <cellStyle name="Normal 3 4 4 2 3 3 2" xfId="14850" xr:uid="{00000000-0005-0000-0000-000072630000}"/>
    <cellStyle name="Normal 3 4 4 2 3 4" xfId="10443" xr:uid="{00000000-0005-0000-0000-000073630000}"/>
    <cellStyle name="Normal 3 4 4 2 4" xfId="3103" xr:uid="{00000000-0005-0000-0000-000074630000}"/>
    <cellStyle name="Normal 3 4 4 2 4 2" xfId="7497" xr:uid="{00000000-0005-0000-0000-000075630000}"/>
    <cellStyle name="Normal 3 4 4 2 4 2 2" xfId="16318" xr:uid="{00000000-0005-0000-0000-000076630000}"/>
    <cellStyle name="Normal 3 4 4 2 4 3" xfId="11911" xr:uid="{00000000-0005-0000-0000-000077630000}"/>
    <cellStyle name="Normal 3 4 4 2 5" xfId="5292" xr:uid="{00000000-0005-0000-0000-000078630000}"/>
    <cellStyle name="Normal 3 4 4 2 5 2" xfId="14113" xr:uid="{00000000-0005-0000-0000-000079630000}"/>
    <cellStyle name="Normal 3 4 4 2 6" xfId="9706" xr:uid="{00000000-0005-0000-0000-00007A630000}"/>
    <cellStyle name="Normal 3 4 4 3" xfId="2145" xr:uid="{00000000-0005-0000-0000-00007B630000}"/>
    <cellStyle name="Normal 3 4 4 3 2" xfId="4195" xr:uid="{00000000-0005-0000-0000-00007C630000}"/>
    <cellStyle name="Normal 3 4 4 3 2 2" xfId="8603" xr:uid="{00000000-0005-0000-0000-00007D630000}"/>
    <cellStyle name="Normal 3 4 4 3 2 2 2" xfId="17424" xr:uid="{00000000-0005-0000-0000-00007E630000}"/>
    <cellStyle name="Normal 3 4 4 3 2 3" xfId="13017" xr:uid="{00000000-0005-0000-0000-00007F630000}"/>
    <cellStyle name="Normal 3 4 4 3 3" xfId="6398" xr:uid="{00000000-0005-0000-0000-000080630000}"/>
    <cellStyle name="Normal 3 4 4 3 3 2" xfId="15219" xr:uid="{00000000-0005-0000-0000-000081630000}"/>
    <cellStyle name="Normal 3 4 4 3 4" xfId="10812" xr:uid="{00000000-0005-0000-0000-000082630000}"/>
    <cellStyle name="Normal 3 4 4 4" xfId="1529" xr:uid="{00000000-0005-0000-0000-000083630000}"/>
    <cellStyle name="Normal 3 4 4 4 2" xfId="3471" xr:uid="{00000000-0005-0000-0000-000084630000}"/>
    <cellStyle name="Normal 3 4 4 4 2 2" xfId="7865" xr:uid="{00000000-0005-0000-0000-000085630000}"/>
    <cellStyle name="Normal 3 4 4 4 2 2 2" xfId="16686" xr:uid="{00000000-0005-0000-0000-000086630000}"/>
    <cellStyle name="Normal 3 4 4 4 2 3" xfId="12279" xr:uid="{00000000-0005-0000-0000-000087630000}"/>
    <cellStyle name="Normal 3 4 4 4 3" xfId="5660" xr:uid="{00000000-0005-0000-0000-000088630000}"/>
    <cellStyle name="Normal 3 4 4 4 3 2" xfId="14481" xr:uid="{00000000-0005-0000-0000-000089630000}"/>
    <cellStyle name="Normal 3 4 4 4 4" xfId="10074" xr:uid="{00000000-0005-0000-0000-00008A630000}"/>
    <cellStyle name="Normal 3 4 4 5" xfId="2735" xr:uid="{00000000-0005-0000-0000-00008B630000}"/>
    <cellStyle name="Normal 3 4 4 5 2" xfId="7128" xr:uid="{00000000-0005-0000-0000-00008C630000}"/>
    <cellStyle name="Normal 3 4 4 5 2 2" xfId="15949" xr:uid="{00000000-0005-0000-0000-00008D630000}"/>
    <cellStyle name="Normal 3 4 4 5 3" xfId="11542" xr:uid="{00000000-0005-0000-0000-00008E630000}"/>
    <cellStyle name="Normal 3 4 4 6" xfId="4923" xr:uid="{00000000-0005-0000-0000-00008F630000}"/>
    <cellStyle name="Normal 3 4 4 6 2" xfId="13744" xr:uid="{00000000-0005-0000-0000-000090630000}"/>
    <cellStyle name="Normal 3 4 4 7" xfId="9337" xr:uid="{00000000-0005-0000-0000-000091630000}"/>
    <cellStyle name="Normal 3 4 4 8" xfId="28419" xr:uid="{00000000-0005-0000-0000-000092630000}"/>
    <cellStyle name="Normal 3 4 4 9" xfId="29341" xr:uid="{00000000-0005-0000-0000-000093630000}"/>
    <cellStyle name="Normal 3 4 5" xfId="1012" xr:uid="{00000000-0005-0000-0000-000094630000}"/>
    <cellStyle name="Normal 3 4 5 2" xfId="2275" xr:uid="{00000000-0005-0000-0000-000095630000}"/>
    <cellStyle name="Normal 3 4 5 2 2" xfId="4366" xr:uid="{00000000-0005-0000-0000-000096630000}"/>
    <cellStyle name="Normal 3 4 5 2 2 2" xfId="8787" xr:uid="{00000000-0005-0000-0000-000097630000}"/>
    <cellStyle name="Normal 3 4 5 2 2 2 2" xfId="17608" xr:uid="{00000000-0005-0000-0000-000098630000}"/>
    <cellStyle name="Normal 3 4 5 2 2 3" xfId="13201" xr:uid="{00000000-0005-0000-0000-000099630000}"/>
    <cellStyle name="Normal 3 4 5 2 3" xfId="6582" xr:uid="{00000000-0005-0000-0000-00009A630000}"/>
    <cellStyle name="Normal 3 4 5 2 3 2" xfId="15403" xr:uid="{00000000-0005-0000-0000-00009B630000}"/>
    <cellStyle name="Normal 3 4 5 2 4" xfId="10996" xr:uid="{00000000-0005-0000-0000-00009C630000}"/>
    <cellStyle name="Normal 3 4 5 3" xfId="1700" xr:uid="{00000000-0005-0000-0000-00009D630000}"/>
    <cellStyle name="Normal 3 4 5 3 2" xfId="3655" xr:uid="{00000000-0005-0000-0000-00009E630000}"/>
    <cellStyle name="Normal 3 4 5 3 2 2" xfId="8049" xr:uid="{00000000-0005-0000-0000-00009F630000}"/>
    <cellStyle name="Normal 3 4 5 3 2 2 2" xfId="16870" xr:uid="{00000000-0005-0000-0000-0000A0630000}"/>
    <cellStyle name="Normal 3 4 5 3 2 3" xfId="12463" xr:uid="{00000000-0005-0000-0000-0000A1630000}"/>
    <cellStyle name="Normal 3 4 5 3 3" xfId="5844" xr:uid="{00000000-0005-0000-0000-0000A2630000}"/>
    <cellStyle name="Normal 3 4 5 3 3 2" xfId="14665" xr:uid="{00000000-0005-0000-0000-0000A3630000}"/>
    <cellStyle name="Normal 3 4 5 3 4" xfId="10258" xr:uid="{00000000-0005-0000-0000-0000A4630000}"/>
    <cellStyle name="Normal 3 4 5 4" xfId="2918" xr:uid="{00000000-0005-0000-0000-0000A5630000}"/>
    <cellStyle name="Normal 3 4 5 4 2" xfId="7312" xr:uid="{00000000-0005-0000-0000-0000A6630000}"/>
    <cellStyle name="Normal 3 4 5 4 2 2" xfId="16133" xr:uid="{00000000-0005-0000-0000-0000A7630000}"/>
    <cellStyle name="Normal 3 4 5 4 3" xfId="11726" xr:uid="{00000000-0005-0000-0000-0000A8630000}"/>
    <cellStyle name="Normal 3 4 5 5" xfId="5107" xr:uid="{00000000-0005-0000-0000-0000A9630000}"/>
    <cellStyle name="Normal 3 4 5 5 2" xfId="13928" xr:uid="{00000000-0005-0000-0000-0000AA630000}"/>
    <cellStyle name="Normal 3 4 5 6" xfId="9521" xr:uid="{00000000-0005-0000-0000-0000AB630000}"/>
    <cellStyle name="Normal 3 4 5 7" xfId="28420" xr:uid="{00000000-0005-0000-0000-0000AC630000}"/>
    <cellStyle name="Normal 3 4 5 8" xfId="29342" xr:uid="{00000000-0005-0000-0000-0000AD630000}"/>
    <cellStyle name="Normal 3 4 6" xfId="2040" xr:uid="{00000000-0005-0000-0000-0000AE630000}"/>
    <cellStyle name="Normal 3 4 6 2" xfId="4011" xr:uid="{00000000-0005-0000-0000-0000AF630000}"/>
    <cellStyle name="Normal 3 4 6 2 2" xfId="8418" xr:uid="{00000000-0005-0000-0000-0000B0630000}"/>
    <cellStyle name="Normal 3 4 6 2 2 2" xfId="17239" xr:uid="{00000000-0005-0000-0000-0000B1630000}"/>
    <cellStyle name="Normal 3 4 6 2 3" xfId="12832" xr:uid="{00000000-0005-0000-0000-0000B2630000}"/>
    <cellStyle name="Normal 3 4 6 3" xfId="6213" xr:uid="{00000000-0005-0000-0000-0000B3630000}"/>
    <cellStyle name="Normal 3 4 6 3 2" xfId="15034" xr:uid="{00000000-0005-0000-0000-0000B4630000}"/>
    <cellStyle name="Normal 3 4 6 4" xfId="10627" xr:uid="{00000000-0005-0000-0000-0000B5630000}"/>
    <cellStyle name="Normal 3 4 7" xfId="1372" xr:uid="{00000000-0005-0000-0000-0000B6630000}"/>
    <cellStyle name="Normal 3 4 7 2" xfId="3286" xr:uid="{00000000-0005-0000-0000-0000B7630000}"/>
    <cellStyle name="Normal 3 4 7 2 2" xfId="7680" xr:uid="{00000000-0005-0000-0000-0000B8630000}"/>
    <cellStyle name="Normal 3 4 7 2 2 2" xfId="16501" xr:uid="{00000000-0005-0000-0000-0000B9630000}"/>
    <cellStyle name="Normal 3 4 7 2 3" xfId="12094" xr:uid="{00000000-0005-0000-0000-0000BA630000}"/>
    <cellStyle name="Normal 3 4 7 3" xfId="5475" xr:uid="{00000000-0005-0000-0000-0000BB630000}"/>
    <cellStyle name="Normal 3 4 7 3 2" xfId="14296" xr:uid="{00000000-0005-0000-0000-0000BC630000}"/>
    <cellStyle name="Normal 3 4 7 4" xfId="9889" xr:uid="{00000000-0005-0000-0000-0000BD630000}"/>
    <cellStyle name="Normal 3 4 8" xfId="2551" xr:uid="{00000000-0005-0000-0000-0000BE630000}"/>
    <cellStyle name="Normal 3 4 8 2" xfId="6943" xr:uid="{00000000-0005-0000-0000-0000BF630000}"/>
    <cellStyle name="Normal 3 4 8 2 2" xfId="15764" xr:uid="{00000000-0005-0000-0000-0000C0630000}"/>
    <cellStyle name="Normal 3 4 8 3" xfId="11357" xr:uid="{00000000-0005-0000-0000-0000C1630000}"/>
    <cellStyle name="Normal 3 4 9" xfId="4738" xr:uid="{00000000-0005-0000-0000-0000C2630000}"/>
    <cellStyle name="Normal 3 4 9 2" xfId="13559" xr:uid="{00000000-0005-0000-0000-0000C3630000}"/>
    <cellStyle name="Normal 3 5" xfId="131" xr:uid="{00000000-0005-0000-0000-0000C4630000}"/>
    <cellStyle name="Normal 3 5 10" xfId="18118" xr:uid="{00000000-0005-0000-0000-0000C5630000}"/>
    <cellStyle name="Normal 3 5 11" xfId="28421" xr:uid="{00000000-0005-0000-0000-0000C6630000}"/>
    <cellStyle name="Normal 3 5 12" xfId="29343" xr:uid="{00000000-0005-0000-0000-0000C7630000}"/>
    <cellStyle name="Normal 3 5 2" xfId="230" xr:uid="{00000000-0005-0000-0000-0000C8630000}"/>
    <cellStyle name="Normal 3 5 2 10" xfId="29344" xr:uid="{00000000-0005-0000-0000-0000C9630000}"/>
    <cellStyle name="Normal 3 5 2 2" xfId="437" xr:uid="{00000000-0005-0000-0000-0000CA630000}"/>
    <cellStyle name="Normal 3 5 2 2 2" xfId="930" xr:uid="{00000000-0005-0000-0000-0000CB630000}"/>
    <cellStyle name="Normal 3 5 2 2 2 2" xfId="2494" xr:uid="{00000000-0005-0000-0000-0000CC630000}"/>
    <cellStyle name="Normal 3 5 2 2 2 2 2" xfId="4664" xr:uid="{00000000-0005-0000-0000-0000CD630000}"/>
    <cellStyle name="Normal 3 5 2 2 2 2 2 2" xfId="9087" xr:uid="{00000000-0005-0000-0000-0000CE630000}"/>
    <cellStyle name="Normal 3 5 2 2 2 2 2 2 2" xfId="17908" xr:uid="{00000000-0005-0000-0000-0000CF630000}"/>
    <cellStyle name="Normal 3 5 2 2 2 2 2 3" xfId="13501" xr:uid="{00000000-0005-0000-0000-0000D0630000}"/>
    <cellStyle name="Normal 3 5 2 2 2 2 3" xfId="6882" xr:uid="{00000000-0005-0000-0000-0000D1630000}"/>
    <cellStyle name="Normal 3 5 2 2 2 2 3 2" xfId="15703" xr:uid="{00000000-0005-0000-0000-0000D2630000}"/>
    <cellStyle name="Normal 3 5 2 2 2 2 4" xfId="11296" xr:uid="{00000000-0005-0000-0000-0000D3630000}"/>
    <cellStyle name="Normal 3 5 2 2 2 3" xfId="1998" xr:uid="{00000000-0005-0000-0000-0000D4630000}"/>
    <cellStyle name="Normal 3 5 2 2 2 3 2" xfId="3955" xr:uid="{00000000-0005-0000-0000-0000D5630000}"/>
    <cellStyle name="Normal 3 5 2 2 2 3 2 2" xfId="8349" xr:uid="{00000000-0005-0000-0000-0000D6630000}"/>
    <cellStyle name="Normal 3 5 2 2 2 3 2 2 2" xfId="17170" xr:uid="{00000000-0005-0000-0000-0000D7630000}"/>
    <cellStyle name="Normal 3 5 2 2 2 3 2 3" xfId="12763" xr:uid="{00000000-0005-0000-0000-0000D8630000}"/>
    <cellStyle name="Normal 3 5 2 2 2 3 3" xfId="6144" xr:uid="{00000000-0005-0000-0000-0000D9630000}"/>
    <cellStyle name="Normal 3 5 2 2 2 3 3 2" xfId="14965" xr:uid="{00000000-0005-0000-0000-0000DA630000}"/>
    <cellStyle name="Normal 3 5 2 2 2 3 4" xfId="10558" xr:uid="{00000000-0005-0000-0000-0000DB630000}"/>
    <cellStyle name="Normal 3 5 2 2 2 4" xfId="3218" xr:uid="{00000000-0005-0000-0000-0000DC630000}"/>
    <cellStyle name="Normal 3 5 2 2 2 4 2" xfId="7612" xr:uid="{00000000-0005-0000-0000-0000DD630000}"/>
    <cellStyle name="Normal 3 5 2 2 2 4 2 2" xfId="16433" xr:uid="{00000000-0005-0000-0000-0000DE630000}"/>
    <cellStyle name="Normal 3 5 2 2 2 4 3" xfId="12026" xr:uid="{00000000-0005-0000-0000-0000DF630000}"/>
    <cellStyle name="Normal 3 5 2 2 2 5" xfId="5407" xr:uid="{00000000-0005-0000-0000-0000E0630000}"/>
    <cellStyle name="Normal 3 5 2 2 2 5 2" xfId="14228" xr:uid="{00000000-0005-0000-0000-0000E1630000}"/>
    <cellStyle name="Normal 3 5 2 2 2 6" xfId="9821" xr:uid="{00000000-0005-0000-0000-0000E2630000}"/>
    <cellStyle name="Normal 3 5 2 2 2 7" xfId="28424" xr:uid="{00000000-0005-0000-0000-0000E3630000}"/>
    <cellStyle name="Normal 3 5 2 2 2 8" xfId="29346" xr:uid="{00000000-0005-0000-0000-0000E4630000}"/>
    <cellStyle name="Normal 3 5 2 2 3" xfId="2233" xr:uid="{00000000-0005-0000-0000-0000E5630000}"/>
    <cellStyle name="Normal 3 5 2 2 3 2" xfId="4309" xr:uid="{00000000-0005-0000-0000-0000E6630000}"/>
    <cellStyle name="Normal 3 5 2 2 3 2 2" xfId="8718" xr:uid="{00000000-0005-0000-0000-0000E7630000}"/>
    <cellStyle name="Normal 3 5 2 2 3 2 2 2" xfId="17539" xr:uid="{00000000-0005-0000-0000-0000E8630000}"/>
    <cellStyle name="Normal 3 5 2 2 3 2 3" xfId="13132" xr:uid="{00000000-0005-0000-0000-0000E9630000}"/>
    <cellStyle name="Normal 3 5 2 2 3 3" xfId="6513" xr:uid="{00000000-0005-0000-0000-0000EA630000}"/>
    <cellStyle name="Normal 3 5 2 2 3 3 2" xfId="15334" xr:uid="{00000000-0005-0000-0000-0000EB630000}"/>
    <cellStyle name="Normal 3 5 2 2 3 4" xfId="10927" xr:uid="{00000000-0005-0000-0000-0000EC630000}"/>
    <cellStyle name="Normal 3 5 2 2 4" xfId="1643" xr:uid="{00000000-0005-0000-0000-0000ED630000}"/>
    <cellStyle name="Normal 3 5 2 2 4 2" xfId="3586" xr:uid="{00000000-0005-0000-0000-0000EE630000}"/>
    <cellStyle name="Normal 3 5 2 2 4 2 2" xfId="7980" xr:uid="{00000000-0005-0000-0000-0000EF630000}"/>
    <cellStyle name="Normal 3 5 2 2 4 2 2 2" xfId="16801" xr:uid="{00000000-0005-0000-0000-0000F0630000}"/>
    <cellStyle name="Normal 3 5 2 2 4 2 3" xfId="12394" xr:uid="{00000000-0005-0000-0000-0000F1630000}"/>
    <cellStyle name="Normal 3 5 2 2 4 3" xfId="5775" xr:uid="{00000000-0005-0000-0000-0000F2630000}"/>
    <cellStyle name="Normal 3 5 2 2 4 3 2" xfId="14596" xr:uid="{00000000-0005-0000-0000-0000F3630000}"/>
    <cellStyle name="Normal 3 5 2 2 4 4" xfId="10189" xr:uid="{00000000-0005-0000-0000-0000F4630000}"/>
    <cellStyle name="Normal 3 5 2 2 5" xfId="2849" xr:uid="{00000000-0005-0000-0000-0000F5630000}"/>
    <cellStyle name="Normal 3 5 2 2 5 2" xfId="7243" xr:uid="{00000000-0005-0000-0000-0000F6630000}"/>
    <cellStyle name="Normal 3 5 2 2 5 2 2" xfId="16064" xr:uid="{00000000-0005-0000-0000-0000F7630000}"/>
    <cellStyle name="Normal 3 5 2 2 5 3" xfId="11657" xr:uid="{00000000-0005-0000-0000-0000F8630000}"/>
    <cellStyle name="Normal 3 5 2 2 6" xfId="5038" xr:uid="{00000000-0005-0000-0000-0000F9630000}"/>
    <cellStyle name="Normal 3 5 2 2 6 2" xfId="13859" xr:uid="{00000000-0005-0000-0000-0000FA630000}"/>
    <cellStyle name="Normal 3 5 2 2 7" xfId="9452" xr:uid="{00000000-0005-0000-0000-0000FB630000}"/>
    <cellStyle name="Normal 3 5 2 2 8" xfId="28423" xr:uid="{00000000-0005-0000-0000-0000FC630000}"/>
    <cellStyle name="Normal 3 5 2 2 9" xfId="29345" xr:uid="{00000000-0005-0000-0000-0000FD630000}"/>
    <cellStyle name="Normal 3 5 2 3" xfId="743" xr:uid="{00000000-0005-0000-0000-0000FE630000}"/>
    <cellStyle name="Normal 3 5 2 3 2" xfId="2363" xr:uid="{00000000-0005-0000-0000-0000FF630000}"/>
    <cellStyle name="Normal 3 5 2 3 2 2" xfId="4480" xr:uid="{00000000-0005-0000-0000-000000640000}"/>
    <cellStyle name="Normal 3 5 2 3 2 2 2" xfId="8902" xr:uid="{00000000-0005-0000-0000-000001640000}"/>
    <cellStyle name="Normal 3 5 2 3 2 2 2 2" xfId="17723" xr:uid="{00000000-0005-0000-0000-000002640000}"/>
    <cellStyle name="Normal 3 5 2 3 2 2 3" xfId="13316" xr:uid="{00000000-0005-0000-0000-000003640000}"/>
    <cellStyle name="Normal 3 5 2 3 2 3" xfId="6697" xr:uid="{00000000-0005-0000-0000-000004640000}"/>
    <cellStyle name="Normal 3 5 2 3 2 3 2" xfId="15518" xr:uid="{00000000-0005-0000-0000-000005640000}"/>
    <cellStyle name="Normal 3 5 2 3 2 4" xfId="11111" xr:uid="{00000000-0005-0000-0000-000006640000}"/>
    <cellStyle name="Normal 3 5 2 3 3" xfId="1814" xr:uid="{00000000-0005-0000-0000-000007640000}"/>
    <cellStyle name="Normal 3 5 2 3 3 2" xfId="3770" xr:uid="{00000000-0005-0000-0000-000008640000}"/>
    <cellStyle name="Normal 3 5 2 3 3 2 2" xfId="8164" xr:uid="{00000000-0005-0000-0000-000009640000}"/>
    <cellStyle name="Normal 3 5 2 3 3 2 2 2" xfId="16985" xr:uid="{00000000-0005-0000-0000-00000A640000}"/>
    <cellStyle name="Normal 3 5 2 3 3 2 3" xfId="12578" xr:uid="{00000000-0005-0000-0000-00000B640000}"/>
    <cellStyle name="Normal 3 5 2 3 3 3" xfId="5959" xr:uid="{00000000-0005-0000-0000-00000C640000}"/>
    <cellStyle name="Normal 3 5 2 3 3 3 2" xfId="14780" xr:uid="{00000000-0005-0000-0000-00000D640000}"/>
    <cellStyle name="Normal 3 5 2 3 3 4" xfId="10373" xr:uid="{00000000-0005-0000-0000-00000E640000}"/>
    <cellStyle name="Normal 3 5 2 3 4" xfId="3033" xr:uid="{00000000-0005-0000-0000-00000F640000}"/>
    <cellStyle name="Normal 3 5 2 3 4 2" xfId="7427" xr:uid="{00000000-0005-0000-0000-000010640000}"/>
    <cellStyle name="Normal 3 5 2 3 4 2 2" xfId="16248" xr:uid="{00000000-0005-0000-0000-000011640000}"/>
    <cellStyle name="Normal 3 5 2 3 4 3" xfId="11841" xr:uid="{00000000-0005-0000-0000-000012640000}"/>
    <cellStyle name="Normal 3 5 2 3 5" xfId="5222" xr:uid="{00000000-0005-0000-0000-000013640000}"/>
    <cellStyle name="Normal 3 5 2 3 5 2" xfId="14043" xr:uid="{00000000-0005-0000-0000-000014640000}"/>
    <cellStyle name="Normal 3 5 2 3 6" xfId="9636" xr:uid="{00000000-0005-0000-0000-000015640000}"/>
    <cellStyle name="Normal 3 5 2 3 7" xfId="28425" xr:uid="{00000000-0005-0000-0000-000016640000}"/>
    <cellStyle name="Normal 3 5 2 3 8" xfId="29347" xr:uid="{00000000-0005-0000-0000-000017640000}"/>
    <cellStyle name="Normal 3 5 2 4" xfId="2102" xr:uid="{00000000-0005-0000-0000-000018640000}"/>
    <cellStyle name="Normal 3 5 2 4 2" xfId="4125" xr:uid="{00000000-0005-0000-0000-000019640000}"/>
    <cellStyle name="Normal 3 5 2 4 2 2" xfId="8533" xr:uid="{00000000-0005-0000-0000-00001A640000}"/>
    <cellStyle name="Normal 3 5 2 4 2 2 2" xfId="17354" xr:uid="{00000000-0005-0000-0000-00001B640000}"/>
    <cellStyle name="Normal 3 5 2 4 2 3" xfId="12947" xr:uid="{00000000-0005-0000-0000-00001C640000}"/>
    <cellStyle name="Normal 3 5 2 4 3" xfId="6328" xr:uid="{00000000-0005-0000-0000-00001D640000}"/>
    <cellStyle name="Normal 3 5 2 4 3 2" xfId="15149" xr:uid="{00000000-0005-0000-0000-00001E640000}"/>
    <cellStyle name="Normal 3 5 2 4 4" xfId="10742" xr:uid="{00000000-0005-0000-0000-00001F640000}"/>
    <cellStyle name="Normal 3 5 2 5" xfId="1460" xr:uid="{00000000-0005-0000-0000-000020640000}"/>
    <cellStyle name="Normal 3 5 2 5 2" xfId="3401" xr:uid="{00000000-0005-0000-0000-000021640000}"/>
    <cellStyle name="Normal 3 5 2 5 2 2" xfId="7795" xr:uid="{00000000-0005-0000-0000-000022640000}"/>
    <cellStyle name="Normal 3 5 2 5 2 2 2" xfId="16616" xr:uid="{00000000-0005-0000-0000-000023640000}"/>
    <cellStyle name="Normal 3 5 2 5 2 3" xfId="12209" xr:uid="{00000000-0005-0000-0000-000024640000}"/>
    <cellStyle name="Normal 3 5 2 5 3" xfId="5590" xr:uid="{00000000-0005-0000-0000-000025640000}"/>
    <cellStyle name="Normal 3 5 2 5 3 2" xfId="14411" xr:uid="{00000000-0005-0000-0000-000026640000}"/>
    <cellStyle name="Normal 3 5 2 5 4" xfId="10004" xr:uid="{00000000-0005-0000-0000-000027640000}"/>
    <cellStyle name="Normal 3 5 2 6" xfId="2665" xr:uid="{00000000-0005-0000-0000-000028640000}"/>
    <cellStyle name="Normal 3 5 2 6 2" xfId="7058" xr:uid="{00000000-0005-0000-0000-000029640000}"/>
    <cellStyle name="Normal 3 5 2 6 2 2" xfId="15879" xr:uid="{00000000-0005-0000-0000-00002A640000}"/>
    <cellStyle name="Normal 3 5 2 6 3" xfId="11472" xr:uid="{00000000-0005-0000-0000-00002B640000}"/>
    <cellStyle name="Normal 3 5 2 7" xfId="4853" xr:uid="{00000000-0005-0000-0000-00002C640000}"/>
    <cellStyle name="Normal 3 5 2 7 2" xfId="13674" xr:uid="{00000000-0005-0000-0000-00002D640000}"/>
    <cellStyle name="Normal 3 5 2 8" xfId="9267" xr:uid="{00000000-0005-0000-0000-00002E640000}"/>
    <cellStyle name="Normal 3 5 2 9" xfId="28422" xr:uid="{00000000-0005-0000-0000-00002F640000}"/>
    <cellStyle name="Normal 3 5 3" xfId="344" xr:uid="{00000000-0005-0000-0000-000030640000}"/>
    <cellStyle name="Normal 3 5 3 2" xfId="837" xr:uid="{00000000-0005-0000-0000-000031640000}"/>
    <cellStyle name="Normal 3 5 3 2 2" xfId="2429" xr:uid="{00000000-0005-0000-0000-000032640000}"/>
    <cellStyle name="Normal 3 5 3 2 2 2" xfId="4573" xr:uid="{00000000-0005-0000-0000-000033640000}"/>
    <cellStyle name="Normal 3 5 3 2 2 2 2" xfId="8995" xr:uid="{00000000-0005-0000-0000-000034640000}"/>
    <cellStyle name="Normal 3 5 3 2 2 2 2 2" xfId="17816" xr:uid="{00000000-0005-0000-0000-000035640000}"/>
    <cellStyle name="Normal 3 5 3 2 2 2 3" xfId="13409" xr:uid="{00000000-0005-0000-0000-000036640000}"/>
    <cellStyle name="Normal 3 5 3 2 2 3" xfId="6790" xr:uid="{00000000-0005-0000-0000-000037640000}"/>
    <cellStyle name="Normal 3 5 3 2 2 3 2" xfId="15611" xr:uid="{00000000-0005-0000-0000-000038640000}"/>
    <cellStyle name="Normal 3 5 3 2 2 4" xfId="11204" xr:uid="{00000000-0005-0000-0000-000039640000}"/>
    <cellStyle name="Normal 3 5 3 2 3" xfId="1907" xr:uid="{00000000-0005-0000-0000-00003A640000}"/>
    <cellStyle name="Normal 3 5 3 2 3 2" xfId="3863" xr:uid="{00000000-0005-0000-0000-00003B640000}"/>
    <cellStyle name="Normal 3 5 3 2 3 2 2" xfId="8257" xr:uid="{00000000-0005-0000-0000-00003C640000}"/>
    <cellStyle name="Normal 3 5 3 2 3 2 2 2" xfId="17078" xr:uid="{00000000-0005-0000-0000-00003D640000}"/>
    <cellStyle name="Normal 3 5 3 2 3 2 3" xfId="12671" xr:uid="{00000000-0005-0000-0000-00003E640000}"/>
    <cellStyle name="Normal 3 5 3 2 3 3" xfId="6052" xr:uid="{00000000-0005-0000-0000-00003F640000}"/>
    <cellStyle name="Normal 3 5 3 2 3 3 2" xfId="14873" xr:uid="{00000000-0005-0000-0000-000040640000}"/>
    <cellStyle name="Normal 3 5 3 2 3 4" xfId="10466" xr:uid="{00000000-0005-0000-0000-000041640000}"/>
    <cellStyle name="Normal 3 5 3 2 4" xfId="3126" xr:uid="{00000000-0005-0000-0000-000042640000}"/>
    <cellStyle name="Normal 3 5 3 2 4 2" xfId="7520" xr:uid="{00000000-0005-0000-0000-000043640000}"/>
    <cellStyle name="Normal 3 5 3 2 4 2 2" xfId="16341" xr:uid="{00000000-0005-0000-0000-000044640000}"/>
    <cellStyle name="Normal 3 5 3 2 4 3" xfId="11934" xr:uid="{00000000-0005-0000-0000-000045640000}"/>
    <cellStyle name="Normal 3 5 3 2 5" xfId="5315" xr:uid="{00000000-0005-0000-0000-000046640000}"/>
    <cellStyle name="Normal 3 5 3 2 5 2" xfId="14136" xr:uid="{00000000-0005-0000-0000-000047640000}"/>
    <cellStyle name="Normal 3 5 3 2 6" xfId="9729" xr:uid="{00000000-0005-0000-0000-000048640000}"/>
    <cellStyle name="Normal 3 5 3 2 7" xfId="28427" xr:uid="{00000000-0005-0000-0000-000049640000}"/>
    <cellStyle name="Normal 3 5 3 2 8" xfId="29349" xr:uid="{00000000-0005-0000-0000-00004A640000}"/>
    <cellStyle name="Normal 3 5 3 3" xfId="2168" xr:uid="{00000000-0005-0000-0000-00004B640000}"/>
    <cellStyle name="Normal 3 5 3 3 2" xfId="4218" xr:uid="{00000000-0005-0000-0000-00004C640000}"/>
    <cellStyle name="Normal 3 5 3 3 2 2" xfId="8626" xr:uid="{00000000-0005-0000-0000-00004D640000}"/>
    <cellStyle name="Normal 3 5 3 3 2 2 2" xfId="17447" xr:uid="{00000000-0005-0000-0000-00004E640000}"/>
    <cellStyle name="Normal 3 5 3 3 2 3" xfId="13040" xr:uid="{00000000-0005-0000-0000-00004F640000}"/>
    <cellStyle name="Normal 3 5 3 3 3" xfId="6421" xr:uid="{00000000-0005-0000-0000-000050640000}"/>
    <cellStyle name="Normal 3 5 3 3 3 2" xfId="15242" xr:uid="{00000000-0005-0000-0000-000051640000}"/>
    <cellStyle name="Normal 3 5 3 3 4" xfId="10835" xr:uid="{00000000-0005-0000-0000-000052640000}"/>
    <cellStyle name="Normal 3 5 3 4" xfId="1552" xr:uid="{00000000-0005-0000-0000-000053640000}"/>
    <cellStyle name="Normal 3 5 3 4 2" xfId="3494" xr:uid="{00000000-0005-0000-0000-000054640000}"/>
    <cellStyle name="Normal 3 5 3 4 2 2" xfId="7888" xr:uid="{00000000-0005-0000-0000-000055640000}"/>
    <cellStyle name="Normal 3 5 3 4 2 2 2" xfId="16709" xr:uid="{00000000-0005-0000-0000-000056640000}"/>
    <cellStyle name="Normal 3 5 3 4 2 3" xfId="12302" xr:uid="{00000000-0005-0000-0000-000057640000}"/>
    <cellStyle name="Normal 3 5 3 4 3" xfId="5683" xr:uid="{00000000-0005-0000-0000-000058640000}"/>
    <cellStyle name="Normal 3 5 3 4 3 2" xfId="14504" xr:uid="{00000000-0005-0000-0000-000059640000}"/>
    <cellStyle name="Normal 3 5 3 4 4" xfId="10097" xr:uid="{00000000-0005-0000-0000-00005A640000}"/>
    <cellStyle name="Normal 3 5 3 5" xfId="2758" xr:uid="{00000000-0005-0000-0000-00005B640000}"/>
    <cellStyle name="Normal 3 5 3 5 2" xfId="7151" xr:uid="{00000000-0005-0000-0000-00005C640000}"/>
    <cellStyle name="Normal 3 5 3 5 2 2" xfId="15972" xr:uid="{00000000-0005-0000-0000-00005D640000}"/>
    <cellStyle name="Normal 3 5 3 5 3" xfId="11565" xr:uid="{00000000-0005-0000-0000-00005E640000}"/>
    <cellStyle name="Normal 3 5 3 6" xfId="4946" xr:uid="{00000000-0005-0000-0000-00005F640000}"/>
    <cellStyle name="Normal 3 5 3 6 2" xfId="13767" xr:uid="{00000000-0005-0000-0000-000060640000}"/>
    <cellStyle name="Normal 3 5 3 7" xfId="9360" xr:uid="{00000000-0005-0000-0000-000061640000}"/>
    <cellStyle name="Normal 3 5 3 8" xfId="28426" xr:uid="{00000000-0005-0000-0000-000062640000}"/>
    <cellStyle name="Normal 3 5 3 9" xfId="29348" xr:uid="{00000000-0005-0000-0000-000063640000}"/>
    <cellStyle name="Normal 3 5 4" xfId="742" xr:uid="{00000000-0005-0000-0000-000064640000}"/>
    <cellStyle name="Normal 3 5 4 2" xfId="2298" xr:uid="{00000000-0005-0000-0000-000065640000}"/>
    <cellStyle name="Normal 3 5 4 2 2" xfId="4389" xr:uid="{00000000-0005-0000-0000-000066640000}"/>
    <cellStyle name="Normal 3 5 4 2 2 2" xfId="8810" xr:uid="{00000000-0005-0000-0000-000067640000}"/>
    <cellStyle name="Normal 3 5 4 2 2 2 2" xfId="17631" xr:uid="{00000000-0005-0000-0000-000068640000}"/>
    <cellStyle name="Normal 3 5 4 2 2 3" xfId="13224" xr:uid="{00000000-0005-0000-0000-000069640000}"/>
    <cellStyle name="Normal 3 5 4 2 3" xfId="6605" xr:uid="{00000000-0005-0000-0000-00006A640000}"/>
    <cellStyle name="Normal 3 5 4 2 3 2" xfId="15426" xr:uid="{00000000-0005-0000-0000-00006B640000}"/>
    <cellStyle name="Normal 3 5 4 2 4" xfId="11019" xr:uid="{00000000-0005-0000-0000-00006C640000}"/>
    <cellStyle name="Normal 3 5 4 3" xfId="1723" xr:uid="{00000000-0005-0000-0000-00006D640000}"/>
    <cellStyle name="Normal 3 5 4 3 2" xfId="3678" xr:uid="{00000000-0005-0000-0000-00006E640000}"/>
    <cellStyle name="Normal 3 5 4 3 2 2" xfId="8072" xr:uid="{00000000-0005-0000-0000-00006F640000}"/>
    <cellStyle name="Normal 3 5 4 3 2 2 2" xfId="16893" xr:uid="{00000000-0005-0000-0000-000070640000}"/>
    <cellStyle name="Normal 3 5 4 3 2 3" xfId="12486" xr:uid="{00000000-0005-0000-0000-000071640000}"/>
    <cellStyle name="Normal 3 5 4 3 3" xfId="5867" xr:uid="{00000000-0005-0000-0000-000072640000}"/>
    <cellStyle name="Normal 3 5 4 3 3 2" xfId="14688" xr:uid="{00000000-0005-0000-0000-000073640000}"/>
    <cellStyle name="Normal 3 5 4 3 4" xfId="10281" xr:uid="{00000000-0005-0000-0000-000074640000}"/>
    <cellStyle name="Normal 3 5 4 4" xfId="2941" xr:uid="{00000000-0005-0000-0000-000075640000}"/>
    <cellStyle name="Normal 3 5 4 4 2" xfId="7335" xr:uid="{00000000-0005-0000-0000-000076640000}"/>
    <cellStyle name="Normal 3 5 4 4 2 2" xfId="16156" xr:uid="{00000000-0005-0000-0000-000077640000}"/>
    <cellStyle name="Normal 3 5 4 4 3" xfId="11749" xr:uid="{00000000-0005-0000-0000-000078640000}"/>
    <cellStyle name="Normal 3 5 4 5" xfId="5130" xr:uid="{00000000-0005-0000-0000-000079640000}"/>
    <cellStyle name="Normal 3 5 4 5 2" xfId="13951" xr:uid="{00000000-0005-0000-0000-00007A640000}"/>
    <cellStyle name="Normal 3 5 4 6" xfId="9544" xr:uid="{00000000-0005-0000-0000-00007B640000}"/>
    <cellStyle name="Normal 3 5 4 7" xfId="28428" xr:uid="{00000000-0005-0000-0000-00007C640000}"/>
    <cellStyle name="Normal 3 5 4 8" xfId="29350" xr:uid="{00000000-0005-0000-0000-00007D640000}"/>
    <cellStyle name="Normal 3 5 5" xfId="1042" xr:uid="{00000000-0005-0000-0000-00007E640000}"/>
    <cellStyle name="Normal 3 5 5 2" xfId="4034" xr:uid="{00000000-0005-0000-0000-00007F640000}"/>
    <cellStyle name="Normal 3 5 5 2 2" xfId="8441" xr:uid="{00000000-0005-0000-0000-000080640000}"/>
    <cellStyle name="Normal 3 5 5 2 2 2" xfId="17262" xr:uid="{00000000-0005-0000-0000-000081640000}"/>
    <cellStyle name="Normal 3 5 5 2 3" xfId="12855" xr:uid="{00000000-0005-0000-0000-000082640000}"/>
    <cellStyle name="Normal 3 5 5 3" xfId="6236" xr:uid="{00000000-0005-0000-0000-000083640000}"/>
    <cellStyle name="Normal 3 5 5 3 2" xfId="15057" xr:uid="{00000000-0005-0000-0000-000084640000}"/>
    <cellStyle name="Normal 3 5 5 4" xfId="10650" xr:uid="{00000000-0005-0000-0000-000085640000}"/>
    <cellStyle name="Normal 3 5 5 5" xfId="28429" xr:uid="{00000000-0005-0000-0000-000086640000}"/>
    <cellStyle name="Normal 3 5 5 6" xfId="29351" xr:uid="{00000000-0005-0000-0000-000087640000}"/>
    <cellStyle name="Normal 3 5 6" xfId="1395" xr:uid="{00000000-0005-0000-0000-000088640000}"/>
    <cellStyle name="Normal 3 5 6 2" xfId="3309" xr:uid="{00000000-0005-0000-0000-000089640000}"/>
    <cellStyle name="Normal 3 5 6 2 2" xfId="7703" xr:uid="{00000000-0005-0000-0000-00008A640000}"/>
    <cellStyle name="Normal 3 5 6 2 2 2" xfId="16524" xr:uid="{00000000-0005-0000-0000-00008B640000}"/>
    <cellStyle name="Normal 3 5 6 2 3" xfId="12117" xr:uid="{00000000-0005-0000-0000-00008C640000}"/>
    <cellStyle name="Normal 3 5 6 3" xfId="5498" xr:uid="{00000000-0005-0000-0000-00008D640000}"/>
    <cellStyle name="Normal 3 5 6 3 2" xfId="14319" xr:uid="{00000000-0005-0000-0000-00008E640000}"/>
    <cellStyle name="Normal 3 5 6 4" xfId="9912" xr:uid="{00000000-0005-0000-0000-00008F640000}"/>
    <cellStyle name="Normal 3 5 7" xfId="2574" xr:uid="{00000000-0005-0000-0000-000090640000}"/>
    <cellStyle name="Normal 3 5 7 2" xfId="6966" xr:uid="{00000000-0005-0000-0000-000091640000}"/>
    <cellStyle name="Normal 3 5 7 2 2" xfId="15787" xr:uid="{00000000-0005-0000-0000-000092640000}"/>
    <cellStyle name="Normal 3 5 7 3" xfId="11380" xr:uid="{00000000-0005-0000-0000-000093640000}"/>
    <cellStyle name="Normal 3 5 8" xfId="4761" xr:uid="{00000000-0005-0000-0000-000094640000}"/>
    <cellStyle name="Normal 3 5 8 2" xfId="13582" xr:uid="{00000000-0005-0000-0000-000095640000}"/>
    <cellStyle name="Normal 3 5 9" xfId="9175" xr:uid="{00000000-0005-0000-0000-000096640000}"/>
    <cellStyle name="Normal 3 6" xfId="167" xr:uid="{00000000-0005-0000-0000-000097640000}"/>
    <cellStyle name="Normal 3 6 10" xfId="28430" xr:uid="{00000000-0005-0000-0000-000098640000}"/>
    <cellStyle name="Normal 3 6 11" xfId="29352" xr:uid="{00000000-0005-0000-0000-000099640000}"/>
    <cellStyle name="Normal 3 6 2" xfId="377" xr:uid="{00000000-0005-0000-0000-00009A640000}"/>
    <cellStyle name="Normal 3 6 2 2" xfId="870" xr:uid="{00000000-0005-0000-0000-00009B640000}"/>
    <cellStyle name="Normal 3 6 2 2 2" xfId="2460" xr:uid="{00000000-0005-0000-0000-00009C640000}"/>
    <cellStyle name="Normal 3 6 2 2 2 2" xfId="4616" xr:uid="{00000000-0005-0000-0000-00009D640000}"/>
    <cellStyle name="Normal 3 6 2 2 2 2 2" xfId="9039" xr:uid="{00000000-0005-0000-0000-00009E640000}"/>
    <cellStyle name="Normal 3 6 2 2 2 2 2 2" xfId="17860" xr:uid="{00000000-0005-0000-0000-00009F640000}"/>
    <cellStyle name="Normal 3 6 2 2 2 2 3" xfId="13453" xr:uid="{00000000-0005-0000-0000-0000A0640000}"/>
    <cellStyle name="Normal 3 6 2 2 2 3" xfId="6834" xr:uid="{00000000-0005-0000-0000-0000A1640000}"/>
    <cellStyle name="Normal 3 6 2 2 2 3 2" xfId="15655" xr:uid="{00000000-0005-0000-0000-0000A2640000}"/>
    <cellStyle name="Normal 3 6 2 2 2 4" xfId="11248" xr:uid="{00000000-0005-0000-0000-0000A3640000}"/>
    <cellStyle name="Normal 3 6 2 2 3" xfId="1950" xr:uid="{00000000-0005-0000-0000-0000A4640000}"/>
    <cellStyle name="Normal 3 6 2 2 3 2" xfId="3907" xr:uid="{00000000-0005-0000-0000-0000A5640000}"/>
    <cellStyle name="Normal 3 6 2 2 3 2 2" xfId="8301" xr:uid="{00000000-0005-0000-0000-0000A6640000}"/>
    <cellStyle name="Normal 3 6 2 2 3 2 2 2" xfId="17122" xr:uid="{00000000-0005-0000-0000-0000A7640000}"/>
    <cellStyle name="Normal 3 6 2 2 3 2 3" xfId="12715" xr:uid="{00000000-0005-0000-0000-0000A8640000}"/>
    <cellStyle name="Normal 3 6 2 2 3 3" xfId="6096" xr:uid="{00000000-0005-0000-0000-0000A9640000}"/>
    <cellStyle name="Normal 3 6 2 2 3 3 2" xfId="14917" xr:uid="{00000000-0005-0000-0000-0000AA640000}"/>
    <cellStyle name="Normal 3 6 2 2 3 4" xfId="10510" xr:uid="{00000000-0005-0000-0000-0000AB640000}"/>
    <cellStyle name="Normal 3 6 2 2 4" xfId="3170" xr:uid="{00000000-0005-0000-0000-0000AC640000}"/>
    <cellStyle name="Normal 3 6 2 2 4 2" xfId="7564" xr:uid="{00000000-0005-0000-0000-0000AD640000}"/>
    <cellStyle name="Normal 3 6 2 2 4 2 2" xfId="16385" xr:uid="{00000000-0005-0000-0000-0000AE640000}"/>
    <cellStyle name="Normal 3 6 2 2 4 3" xfId="11978" xr:uid="{00000000-0005-0000-0000-0000AF640000}"/>
    <cellStyle name="Normal 3 6 2 2 5" xfId="5359" xr:uid="{00000000-0005-0000-0000-0000B0640000}"/>
    <cellStyle name="Normal 3 6 2 2 5 2" xfId="14180" xr:uid="{00000000-0005-0000-0000-0000B1640000}"/>
    <cellStyle name="Normal 3 6 2 2 6" xfId="9773" xr:uid="{00000000-0005-0000-0000-0000B2640000}"/>
    <cellStyle name="Normal 3 6 2 2 7" xfId="28432" xr:uid="{00000000-0005-0000-0000-0000B3640000}"/>
    <cellStyle name="Normal 3 6 2 2 8" xfId="29354" xr:uid="{00000000-0005-0000-0000-0000B4640000}"/>
    <cellStyle name="Normal 3 6 2 3" xfId="2199" xr:uid="{00000000-0005-0000-0000-0000B5640000}"/>
    <cellStyle name="Normal 3 6 2 3 2" xfId="4261" xr:uid="{00000000-0005-0000-0000-0000B6640000}"/>
    <cellStyle name="Normal 3 6 2 3 2 2" xfId="8670" xr:uid="{00000000-0005-0000-0000-0000B7640000}"/>
    <cellStyle name="Normal 3 6 2 3 2 2 2" xfId="17491" xr:uid="{00000000-0005-0000-0000-0000B8640000}"/>
    <cellStyle name="Normal 3 6 2 3 2 3" xfId="13084" xr:uid="{00000000-0005-0000-0000-0000B9640000}"/>
    <cellStyle name="Normal 3 6 2 3 3" xfId="6465" xr:uid="{00000000-0005-0000-0000-0000BA640000}"/>
    <cellStyle name="Normal 3 6 2 3 3 2" xfId="15286" xr:uid="{00000000-0005-0000-0000-0000BB640000}"/>
    <cellStyle name="Normal 3 6 2 3 4" xfId="10879" xr:uid="{00000000-0005-0000-0000-0000BC640000}"/>
    <cellStyle name="Normal 3 6 2 4" xfId="1595" xr:uid="{00000000-0005-0000-0000-0000BD640000}"/>
    <cellStyle name="Normal 3 6 2 4 2" xfId="3538" xr:uid="{00000000-0005-0000-0000-0000BE640000}"/>
    <cellStyle name="Normal 3 6 2 4 2 2" xfId="7932" xr:uid="{00000000-0005-0000-0000-0000BF640000}"/>
    <cellStyle name="Normal 3 6 2 4 2 2 2" xfId="16753" xr:uid="{00000000-0005-0000-0000-0000C0640000}"/>
    <cellStyle name="Normal 3 6 2 4 2 3" xfId="12346" xr:uid="{00000000-0005-0000-0000-0000C1640000}"/>
    <cellStyle name="Normal 3 6 2 4 3" xfId="5727" xr:uid="{00000000-0005-0000-0000-0000C2640000}"/>
    <cellStyle name="Normal 3 6 2 4 3 2" xfId="14548" xr:uid="{00000000-0005-0000-0000-0000C3640000}"/>
    <cellStyle name="Normal 3 6 2 4 4" xfId="10141" xr:uid="{00000000-0005-0000-0000-0000C4640000}"/>
    <cellStyle name="Normal 3 6 2 5" xfId="2801" xr:uid="{00000000-0005-0000-0000-0000C5640000}"/>
    <cellStyle name="Normal 3 6 2 5 2" xfId="7195" xr:uid="{00000000-0005-0000-0000-0000C6640000}"/>
    <cellStyle name="Normal 3 6 2 5 2 2" xfId="16016" xr:uid="{00000000-0005-0000-0000-0000C7640000}"/>
    <cellStyle name="Normal 3 6 2 5 3" xfId="11609" xr:uid="{00000000-0005-0000-0000-0000C8640000}"/>
    <cellStyle name="Normal 3 6 2 6" xfId="4990" xr:uid="{00000000-0005-0000-0000-0000C9640000}"/>
    <cellStyle name="Normal 3 6 2 6 2" xfId="13811" xr:uid="{00000000-0005-0000-0000-0000CA640000}"/>
    <cellStyle name="Normal 3 6 2 7" xfId="9404" xr:uid="{00000000-0005-0000-0000-0000CB640000}"/>
    <cellStyle name="Normal 3 6 2 8" xfId="28431" xr:uid="{00000000-0005-0000-0000-0000CC640000}"/>
    <cellStyle name="Normal 3 6 2 9" xfId="29353" xr:uid="{00000000-0005-0000-0000-0000CD640000}"/>
    <cellStyle name="Normal 3 6 3" xfId="744" xr:uid="{00000000-0005-0000-0000-0000CE640000}"/>
    <cellStyle name="Normal 3 6 3 2" xfId="2329" xr:uid="{00000000-0005-0000-0000-0000CF640000}"/>
    <cellStyle name="Normal 3 6 3 2 2" xfId="4432" xr:uid="{00000000-0005-0000-0000-0000D0640000}"/>
    <cellStyle name="Normal 3 6 3 2 2 2" xfId="8854" xr:uid="{00000000-0005-0000-0000-0000D1640000}"/>
    <cellStyle name="Normal 3 6 3 2 2 2 2" xfId="17675" xr:uid="{00000000-0005-0000-0000-0000D2640000}"/>
    <cellStyle name="Normal 3 6 3 2 2 3" xfId="13268" xr:uid="{00000000-0005-0000-0000-0000D3640000}"/>
    <cellStyle name="Normal 3 6 3 2 3" xfId="6649" xr:uid="{00000000-0005-0000-0000-0000D4640000}"/>
    <cellStyle name="Normal 3 6 3 2 3 2" xfId="15470" xr:uid="{00000000-0005-0000-0000-0000D5640000}"/>
    <cellStyle name="Normal 3 6 3 2 4" xfId="11063" xr:uid="{00000000-0005-0000-0000-0000D6640000}"/>
    <cellStyle name="Normal 3 6 3 3" xfId="1766" xr:uid="{00000000-0005-0000-0000-0000D7640000}"/>
    <cellStyle name="Normal 3 6 3 3 2" xfId="3722" xr:uid="{00000000-0005-0000-0000-0000D8640000}"/>
    <cellStyle name="Normal 3 6 3 3 2 2" xfId="8116" xr:uid="{00000000-0005-0000-0000-0000D9640000}"/>
    <cellStyle name="Normal 3 6 3 3 2 2 2" xfId="16937" xr:uid="{00000000-0005-0000-0000-0000DA640000}"/>
    <cellStyle name="Normal 3 6 3 3 2 3" xfId="12530" xr:uid="{00000000-0005-0000-0000-0000DB640000}"/>
    <cellStyle name="Normal 3 6 3 3 3" xfId="5911" xr:uid="{00000000-0005-0000-0000-0000DC640000}"/>
    <cellStyle name="Normal 3 6 3 3 3 2" xfId="14732" xr:uid="{00000000-0005-0000-0000-0000DD640000}"/>
    <cellStyle name="Normal 3 6 3 3 4" xfId="10325" xr:uid="{00000000-0005-0000-0000-0000DE640000}"/>
    <cellStyle name="Normal 3 6 3 4" xfId="2985" xr:uid="{00000000-0005-0000-0000-0000DF640000}"/>
    <cellStyle name="Normal 3 6 3 4 2" xfId="7379" xr:uid="{00000000-0005-0000-0000-0000E0640000}"/>
    <cellStyle name="Normal 3 6 3 4 2 2" xfId="16200" xr:uid="{00000000-0005-0000-0000-0000E1640000}"/>
    <cellStyle name="Normal 3 6 3 4 3" xfId="11793" xr:uid="{00000000-0005-0000-0000-0000E2640000}"/>
    <cellStyle name="Normal 3 6 3 5" xfId="5174" xr:uid="{00000000-0005-0000-0000-0000E3640000}"/>
    <cellStyle name="Normal 3 6 3 5 2" xfId="13995" xr:uid="{00000000-0005-0000-0000-0000E4640000}"/>
    <cellStyle name="Normal 3 6 3 6" xfId="9588" xr:uid="{00000000-0005-0000-0000-0000E5640000}"/>
    <cellStyle name="Normal 3 6 3 7" xfId="28433" xr:uid="{00000000-0005-0000-0000-0000E6640000}"/>
    <cellStyle name="Normal 3 6 3 8" xfId="29355" xr:uid="{00000000-0005-0000-0000-0000E7640000}"/>
    <cellStyle name="Normal 3 6 4" xfId="2068" xr:uid="{00000000-0005-0000-0000-0000E8640000}"/>
    <cellStyle name="Normal 3 6 4 2" xfId="4077" xr:uid="{00000000-0005-0000-0000-0000E9640000}"/>
    <cellStyle name="Normal 3 6 4 2 2" xfId="8485" xr:uid="{00000000-0005-0000-0000-0000EA640000}"/>
    <cellStyle name="Normal 3 6 4 2 2 2" xfId="17306" xr:uid="{00000000-0005-0000-0000-0000EB640000}"/>
    <cellStyle name="Normal 3 6 4 2 3" xfId="12899" xr:uid="{00000000-0005-0000-0000-0000EC640000}"/>
    <cellStyle name="Normal 3 6 4 3" xfId="6280" xr:uid="{00000000-0005-0000-0000-0000ED640000}"/>
    <cellStyle name="Normal 3 6 4 3 2" xfId="15101" xr:uid="{00000000-0005-0000-0000-0000EE640000}"/>
    <cellStyle name="Normal 3 6 4 4" xfId="10694" xr:uid="{00000000-0005-0000-0000-0000EF640000}"/>
    <cellStyle name="Normal 3 6 5" xfId="1426" xr:uid="{00000000-0005-0000-0000-0000F0640000}"/>
    <cellStyle name="Normal 3 6 5 2" xfId="3353" xr:uid="{00000000-0005-0000-0000-0000F1640000}"/>
    <cellStyle name="Normal 3 6 5 2 2" xfId="7747" xr:uid="{00000000-0005-0000-0000-0000F2640000}"/>
    <cellStyle name="Normal 3 6 5 2 2 2" xfId="16568" xr:uid="{00000000-0005-0000-0000-0000F3640000}"/>
    <cellStyle name="Normal 3 6 5 2 3" xfId="12161" xr:uid="{00000000-0005-0000-0000-0000F4640000}"/>
    <cellStyle name="Normal 3 6 5 3" xfId="5542" xr:uid="{00000000-0005-0000-0000-0000F5640000}"/>
    <cellStyle name="Normal 3 6 5 3 2" xfId="14363" xr:uid="{00000000-0005-0000-0000-0000F6640000}"/>
    <cellStyle name="Normal 3 6 5 4" xfId="9956" xr:uid="{00000000-0005-0000-0000-0000F7640000}"/>
    <cellStyle name="Normal 3 6 6" xfId="2617" xr:uid="{00000000-0005-0000-0000-0000F8640000}"/>
    <cellStyle name="Normal 3 6 6 2" xfId="7010" xr:uid="{00000000-0005-0000-0000-0000F9640000}"/>
    <cellStyle name="Normal 3 6 6 2 2" xfId="15831" xr:uid="{00000000-0005-0000-0000-0000FA640000}"/>
    <cellStyle name="Normal 3 6 6 3" xfId="11424" xr:uid="{00000000-0005-0000-0000-0000FB640000}"/>
    <cellStyle name="Normal 3 6 7" xfId="4805" xr:uid="{00000000-0005-0000-0000-0000FC640000}"/>
    <cellStyle name="Normal 3 6 7 2" xfId="13626" xr:uid="{00000000-0005-0000-0000-0000FD640000}"/>
    <cellStyle name="Normal 3 6 8" xfId="9219" xr:uid="{00000000-0005-0000-0000-0000FE640000}"/>
    <cellStyle name="Normal 3 6 9" xfId="18119" xr:uid="{00000000-0005-0000-0000-0000FF640000}"/>
    <cellStyle name="Normal 3 7" xfId="250" xr:uid="{00000000-0005-0000-0000-000000650000}"/>
    <cellStyle name="Normal 3 7 2" xfId="1123" xr:uid="{00000000-0005-0000-0000-000001650000}"/>
    <cellStyle name="Normal 3 7 2 2" xfId="2394" xr:uid="{00000000-0005-0000-0000-000002650000}"/>
    <cellStyle name="Normal 3 7 2 2 2" xfId="4524" xr:uid="{00000000-0005-0000-0000-000003650000}"/>
    <cellStyle name="Normal 3 7 2 2 2 2" xfId="8946" xr:uid="{00000000-0005-0000-0000-000004650000}"/>
    <cellStyle name="Normal 3 7 2 2 2 2 2" xfId="17767" xr:uid="{00000000-0005-0000-0000-000005650000}"/>
    <cellStyle name="Normal 3 7 2 2 2 3" xfId="13360" xr:uid="{00000000-0005-0000-0000-000006650000}"/>
    <cellStyle name="Normal 3 7 2 2 3" xfId="6741" xr:uid="{00000000-0005-0000-0000-000007650000}"/>
    <cellStyle name="Normal 3 7 2 2 3 2" xfId="15562" xr:uid="{00000000-0005-0000-0000-000008650000}"/>
    <cellStyle name="Normal 3 7 2 2 4" xfId="11155" xr:uid="{00000000-0005-0000-0000-000009650000}"/>
    <cellStyle name="Normal 3 7 2 3" xfId="1858" xr:uid="{00000000-0005-0000-0000-00000A650000}"/>
    <cellStyle name="Normal 3 7 2 3 2" xfId="3814" xr:uid="{00000000-0005-0000-0000-00000B650000}"/>
    <cellStyle name="Normal 3 7 2 3 2 2" xfId="8208" xr:uid="{00000000-0005-0000-0000-00000C650000}"/>
    <cellStyle name="Normal 3 7 2 3 2 2 2" xfId="17029" xr:uid="{00000000-0005-0000-0000-00000D650000}"/>
    <cellStyle name="Normal 3 7 2 3 2 3" xfId="12622" xr:uid="{00000000-0005-0000-0000-00000E650000}"/>
    <cellStyle name="Normal 3 7 2 3 3" xfId="6003" xr:uid="{00000000-0005-0000-0000-00000F650000}"/>
    <cellStyle name="Normal 3 7 2 3 3 2" xfId="14824" xr:uid="{00000000-0005-0000-0000-000010650000}"/>
    <cellStyle name="Normal 3 7 2 3 4" xfId="10417" xr:uid="{00000000-0005-0000-0000-000011650000}"/>
    <cellStyle name="Normal 3 7 2 4" xfId="3077" xr:uid="{00000000-0005-0000-0000-000012650000}"/>
    <cellStyle name="Normal 3 7 2 4 2" xfId="7471" xr:uid="{00000000-0005-0000-0000-000013650000}"/>
    <cellStyle name="Normal 3 7 2 4 2 2" xfId="16292" xr:uid="{00000000-0005-0000-0000-000014650000}"/>
    <cellStyle name="Normal 3 7 2 4 3" xfId="11885" xr:uid="{00000000-0005-0000-0000-000015650000}"/>
    <cellStyle name="Normal 3 7 2 5" xfId="5266" xr:uid="{00000000-0005-0000-0000-000016650000}"/>
    <cellStyle name="Normal 3 7 2 5 2" xfId="14087" xr:uid="{00000000-0005-0000-0000-000017650000}"/>
    <cellStyle name="Normal 3 7 2 6" xfId="9680" xr:uid="{00000000-0005-0000-0000-000018650000}"/>
    <cellStyle name="Normal 3 7 3" xfId="2133" xr:uid="{00000000-0005-0000-0000-000019650000}"/>
    <cellStyle name="Normal 3 7 3 2" xfId="4169" xr:uid="{00000000-0005-0000-0000-00001A650000}"/>
    <cellStyle name="Normal 3 7 3 2 2" xfId="8577" xr:uid="{00000000-0005-0000-0000-00001B650000}"/>
    <cellStyle name="Normal 3 7 3 2 2 2" xfId="17398" xr:uid="{00000000-0005-0000-0000-00001C650000}"/>
    <cellStyle name="Normal 3 7 3 2 3" xfId="12991" xr:uid="{00000000-0005-0000-0000-00001D650000}"/>
    <cellStyle name="Normal 3 7 3 3" xfId="6372" xr:uid="{00000000-0005-0000-0000-00001E650000}"/>
    <cellStyle name="Normal 3 7 3 3 2" xfId="15193" xr:uid="{00000000-0005-0000-0000-00001F650000}"/>
    <cellStyle name="Normal 3 7 3 4" xfId="10786" xr:uid="{00000000-0005-0000-0000-000020650000}"/>
    <cellStyle name="Normal 3 7 4" xfId="1503" xr:uid="{00000000-0005-0000-0000-000021650000}"/>
    <cellStyle name="Normal 3 7 4 2" xfId="3445" xr:uid="{00000000-0005-0000-0000-000022650000}"/>
    <cellStyle name="Normal 3 7 4 2 2" xfId="7839" xr:uid="{00000000-0005-0000-0000-000023650000}"/>
    <cellStyle name="Normal 3 7 4 2 2 2" xfId="16660" xr:uid="{00000000-0005-0000-0000-000024650000}"/>
    <cellStyle name="Normal 3 7 4 2 3" xfId="12253" xr:uid="{00000000-0005-0000-0000-000025650000}"/>
    <cellStyle name="Normal 3 7 4 3" xfId="5634" xr:uid="{00000000-0005-0000-0000-000026650000}"/>
    <cellStyle name="Normal 3 7 4 3 2" xfId="14455" xr:uid="{00000000-0005-0000-0000-000027650000}"/>
    <cellStyle name="Normal 3 7 4 4" xfId="10048" xr:uid="{00000000-0005-0000-0000-000028650000}"/>
    <cellStyle name="Normal 3 7 5" xfId="2709" xr:uid="{00000000-0005-0000-0000-000029650000}"/>
    <cellStyle name="Normal 3 7 5 2" xfId="7102" xr:uid="{00000000-0005-0000-0000-00002A650000}"/>
    <cellStyle name="Normal 3 7 5 2 2" xfId="15923" xr:uid="{00000000-0005-0000-0000-00002B650000}"/>
    <cellStyle name="Normal 3 7 5 3" xfId="11516" xr:uid="{00000000-0005-0000-0000-00002C650000}"/>
    <cellStyle name="Normal 3 7 6" xfId="4897" xr:uid="{00000000-0005-0000-0000-00002D650000}"/>
    <cellStyle name="Normal 3 7 6 2" xfId="13718" xr:uid="{00000000-0005-0000-0000-00002E650000}"/>
    <cellStyle name="Normal 3 7 7" xfId="9311" xr:uid="{00000000-0005-0000-0000-00002F650000}"/>
    <cellStyle name="Normal 3 7 8" xfId="1092" xr:uid="{00000000-0005-0000-0000-000030650000}"/>
    <cellStyle name="Normal 3 8" xfId="271" xr:uid="{00000000-0005-0000-0000-000031650000}"/>
    <cellStyle name="Normal 3 8 2" xfId="765" xr:uid="{00000000-0005-0000-0000-000032650000}"/>
    <cellStyle name="Normal 3 8 2 2" xfId="4340" xr:uid="{00000000-0005-0000-0000-000033650000}"/>
    <cellStyle name="Normal 3 8 2 2 2" xfId="8761" xr:uid="{00000000-0005-0000-0000-000034650000}"/>
    <cellStyle name="Normal 3 8 2 2 2 2" xfId="17582" xr:uid="{00000000-0005-0000-0000-000035650000}"/>
    <cellStyle name="Normal 3 8 2 2 3" xfId="13175" xr:uid="{00000000-0005-0000-0000-000036650000}"/>
    <cellStyle name="Normal 3 8 2 3" xfId="6556" xr:uid="{00000000-0005-0000-0000-000037650000}"/>
    <cellStyle name="Normal 3 8 2 3 2" xfId="15377" xr:uid="{00000000-0005-0000-0000-000038650000}"/>
    <cellStyle name="Normal 3 8 2 4" xfId="10970" xr:uid="{00000000-0005-0000-0000-000039650000}"/>
    <cellStyle name="Normal 3 8 2 5" xfId="28435" xr:uid="{00000000-0005-0000-0000-00003A650000}"/>
    <cellStyle name="Normal 3 8 2 6" xfId="29357" xr:uid="{00000000-0005-0000-0000-00003B650000}"/>
    <cellStyle name="Normal 3 8 3" xfId="1674" xr:uid="{00000000-0005-0000-0000-00003C650000}"/>
    <cellStyle name="Normal 3 8 3 2" xfId="3629" xr:uid="{00000000-0005-0000-0000-00003D650000}"/>
    <cellStyle name="Normal 3 8 3 2 2" xfId="8023" xr:uid="{00000000-0005-0000-0000-00003E650000}"/>
    <cellStyle name="Normal 3 8 3 2 2 2" xfId="16844" xr:uid="{00000000-0005-0000-0000-00003F650000}"/>
    <cellStyle name="Normal 3 8 3 2 3" xfId="12437" xr:uid="{00000000-0005-0000-0000-000040650000}"/>
    <cellStyle name="Normal 3 8 3 3" xfId="5818" xr:uid="{00000000-0005-0000-0000-000041650000}"/>
    <cellStyle name="Normal 3 8 3 3 2" xfId="14639" xr:uid="{00000000-0005-0000-0000-000042650000}"/>
    <cellStyle name="Normal 3 8 3 4" xfId="10232" xr:uid="{00000000-0005-0000-0000-000043650000}"/>
    <cellStyle name="Normal 3 8 4" xfId="2892" xr:uid="{00000000-0005-0000-0000-000044650000}"/>
    <cellStyle name="Normal 3 8 4 2" xfId="7286" xr:uid="{00000000-0005-0000-0000-000045650000}"/>
    <cellStyle name="Normal 3 8 4 2 2" xfId="16107" xr:uid="{00000000-0005-0000-0000-000046650000}"/>
    <cellStyle name="Normal 3 8 4 3" xfId="11700" xr:uid="{00000000-0005-0000-0000-000047650000}"/>
    <cellStyle name="Normal 3 8 5" xfId="5081" xr:uid="{00000000-0005-0000-0000-000048650000}"/>
    <cellStyle name="Normal 3 8 5 2" xfId="13902" xr:uid="{00000000-0005-0000-0000-000049650000}"/>
    <cellStyle name="Normal 3 8 6" xfId="9495" xr:uid="{00000000-0005-0000-0000-00004A650000}"/>
    <cellStyle name="Normal 3 8 7" xfId="18120" xr:uid="{00000000-0005-0000-0000-00004B650000}"/>
    <cellStyle name="Normal 3 8 8" xfId="28434" xr:uid="{00000000-0005-0000-0000-00004C650000}"/>
    <cellStyle name="Normal 3 8 9" xfId="29356" xr:uid="{00000000-0005-0000-0000-00004D650000}"/>
    <cellStyle name="Normal 3 9" xfId="543" xr:uid="{00000000-0005-0000-0000-00004E650000}"/>
    <cellStyle name="Normal 3 9 2" xfId="3986" xr:uid="{00000000-0005-0000-0000-00004F650000}"/>
    <cellStyle name="Normal 3 9 2 2" xfId="8392" xr:uid="{00000000-0005-0000-0000-000050650000}"/>
    <cellStyle name="Normal 3 9 2 2 2" xfId="17213" xr:uid="{00000000-0005-0000-0000-000051650000}"/>
    <cellStyle name="Normal 3 9 2 3" xfId="12806" xr:uid="{00000000-0005-0000-0000-000052650000}"/>
    <cellStyle name="Normal 3 9 3" xfId="6187" xr:uid="{00000000-0005-0000-0000-000053650000}"/>
    <cellStyle name="Normal 3 9 3 2" xfId="15008" xr:uid="{00000000-0005-0000-0000-000054650000}"/>
    <cellStyle name="Normal 3 9 4" xfId="10601" xr:uid="{00000000-0005-0000-0000-000055650000}"/>
    <cellStyle name="Normal 3 9 5" xfId="18121" xr:uid="{00000000-0005-0000-0000-000056650000}"/>
    <cellStyle name="Normal 3 9 6" xfId="28436" xr:uid="{00000000-0005-0000-0000-000057650000}"/>
    <cellStyle name="Normal 3 9 7" xfId="29358" xr:uid="{00000000-0005-0000-0000-000058650000}"/>
    <cellStyle name="Normal 30" xfId="4698" xr:uid="{00000000-0005-0000-0000-000059650000}"/>
    <cellStyle name="Normal 30 2" xfId="9117" xr:uid="{00000000-0005-0000-0000-00005A650000}"/>
    <cellStyle name="Normal 30 2 2" xfId="18548" xr:uid="{00000000-0005-0000-0000-00005B650000}"/>
    <cellStyle name="Normal 30 2 2 2" xfId="18765" xr:uid="{00000000-0005-0000-0000-00005C650000}"/>
    <cellStyle name="Normal 30 2 2 2 10" xfId="24152" xr:uid="{00000000-0005-0000-0000-00005D650000}"/>
    <cellStyle name="Normal 30 2 2 2 11" xfId="23624" xr:uid="{00000000-0005-0000-0000-00005E650000}"/>
    <cellStyle name="Normal 30 2 2 2 12" xfId="26523" xr:uid="{00000000-0005-0000-0000-00005F650000}"/>
    <cellStyle name="Normal 30 2 2 2 13" xfId="25177" xr:uid="{00000000-0005-0000-0000-000060650000}"/>
    <cellStyle name="Normal 30 2 2 2 2" xfId="20282" xr:uid="{00000000-0005-0000-0000-000061650000}"/>
    <cellStyle name="Normal 30 2 2 2 3" xfId="19738" xr:uid="{00000000-0005-0000-0000-000062650000}"/>
    <cellStyle name="Normal 30 2 2 2 4" xfId="21047" xr:uid="{00000000-0005-0000-0000-000063650000}"/>
    <cellStyle name="Normal 30 2 2 2 5" xfId="21657" xr:uid="{00000000-0005-0000-0000-000064650000}"/>
    <cellStyle name="Normal 30 2 2 2 6" xfId="22339" xr:uid="{00000000-0005-0000-0000-000065650000}"/>
    <cellStyle name="Normal 30 2 2 2 7" xfId="21108" xr:uid="{00000000-0005-0000-0000-000066650000}"/>
    <cellStyle name="Normal 30 2 2 2 8" xfId="23759" xr:uid="{00000000-0005-0000-0000-000067650000}"/>
    <cellStyle name="Normal 30 2 2 2 9" xfId="23269" xr:uid="{00000000-0005-0000-0000-000068650000}"/>
    <cellStyle name="Normal 30 2 2 3" xfId="19395" xr:uid="{00000000-0005-0000-0000-000069650000}"/>
    <cellStyle name="Normal 30 2 3" xfId="18764" xr:uid="{00000000-0005-0000-0000-00006A650000}"/>
    <cellStyle name="Normal 30 2 3 10" xfId="25292" xr:uid="{00000000-0005-0000-0000-00006B650000}"/>
    <cellStyle name="Normal 30 2 3 11" xfId="25896" xr:uid="{00000000-0005-0000-0000-00006C650000}"/>
    <cellStyle name="Normal 30 2 3 12" xfId="26295" xr:uid="{00000000-0005-0000-0000-00006D650000}"/>
    <cellStyle name="Normal 30 2 3 13" xfId="24210" xr:uid="{00000000-0005-0000-0000-00006E650000}"/>
    <cellStyle name="Normal 30 2 3 2" xfId="20281" xr:uid="{00000000-0005-0000-0000-00006F650000}"/>
    <cellStyle name="Normal 30 2 3 3" xfId="20778" xr:uid="{00000000-0005-0000-0000-000070650000}"/>
    <cellStyle name="Normal 30 2 3 4" xfId="18958" xr:uid="{00000000-0005-0000-0000-000071650000}"/>
    <cellStyle name="Normal 30 2 3 5" xfId="20034" xr:uid="{00000000-0005-0000-0000-000072650000}"/>
    <cellStyle name="Normal 30 2 3 6" xfId="19542" xr:uid="{00000000-0005-0000-0000-000073650000}"/>
    <cellStyle name="Normal 30 2 3 7" xfId="23401" xr:uid="{00000000-0005-0000-0000-000074650000}"/>
    <cellStyle name="Normal 30 2 3 8" xfId="19216" xr:uid="{00000000-0005-0000-0000-000075650000}"/>
    <cellStyle name="Normal 30 2 3 9" xfId="23074" xr:uid="{00000000-0005-0000-0000-000076650000}"/>
    <cellStyle name="Normal 30 2 4" xfId="18991" xr:uid="{00000000-0005-0000-0000-000077650000}"/>
    <cellStyle name="Normal 30 2 5" xfId="18390" xr:uid="{00000000-0005-0000-0000-000078650000}"/>
    <cellStyle name="Normal 30 3" xfId="18547" xr:uid="{00000000-0005-0000-0000-000079650000}"/>
    <cellStyle name="Normal 30 3 2" xfId="18766" xr:uid="{00000000-0005-0000-0000-00007A650000}"/>
    <cellStyle name="Normal 30 3 2 10" xfId="21858" xr:uid="{00000000-0005-0000-0000-00007B650000}"/>
    <cellStyle name="Normal 30 3 2 11" xfId="23810" xr:uid="{00000000-0005-0000-0000-00007C650000}"/>
    <cellStyle name="Normal 30 3 2 12" xfId="24847" xr:uid="{00000000-0005-0000-0000-00007D650000}"/>
    <cellStyle name="Normal 30 3 2 13" xfId="25650" xr:uid="{00000000-0005-0000-0000-00007E650000}"/>
    <cellStyle name="Normal 30 3 2 2" xfId="20283" xr:uid="{00000000-0005-0000-0000-00007F650000}"/>
    <cellStyle name="Normal 30 3 2 3" xfId="20779" xr:uid="{00000000-0005-0000-0000-000080650000}"/>
    <cellStyle name="Normal 30 3 2 4" xfId="21339" xr:uid="{00000000-0005-0000-0000-000081650000}"/>
    <cellStyle name="Normal 30 3 2 5" xfId="22001" xr:uid="{00000000-0005-0000-0000-000082650000}"/>
    <cellStyle name="Normal 30 3 2 6" xfId="22690" xr:uid="{00000000-0005-0000-0000-000083650000}"/>
    <cellStyle name="Normal 30 3 2 7" xfId="21252" xr:uid="{00000000-0005-0000-0000-000084650000}"/>
    <cellStyle name="Normal 30 3 2 8" xfId="24110" xr:uid="{00000000-0005-0000-0000-000085650000}"/>
    <cellStyle name="Normal 30 3 2 9" xfId="24629" xr:uid="{00000000-0005-0000-0000-000086650000}"/>
    <cellStyle name="Normal 30 3 3" xfId="18990" xr:uid="{00000000-0005-0000-0000-000087650000}"/>
    <cellStyle name="Normal 30 4" xfId="18763" xr:uid="{00000000-0005-0000-0000-000088650000}"/>
    <cellStyle name="Normal 30 4 10" xfId="25612" xr:uid="{00000000-0005-0000-0000-000089650000}"/>
    <cellStyle name="Normal 30 4 11" xfId="26034" xr:uid="{00000000-0005-0000-0000-00008A650000}"/>
    <cellStyle name="Normal 30 4 12" xfId="22948" xr:uid="{00000000-0005-0000-0000-00008B650000}"/>
    <cellStyle name="Normal 30 4 13" xfId="26762" xr:uid="{00000000-0005-0000-0000-00008C650000}"/>
    <cellStyle name="Normal 30 4 2" xfId="20280" xr:uid="{00000000-0005-0000-0000-00008D650000}"/>
    <cellStyle name="Normal 30 4 3" xfId="20522" xr:uid="{00000000-0005-0000-0000-00008E650000}"/>
    <cellStyle name="Normal 30 4 4" xfId="21199" xr:uid="{00000000-0005-0000-0000-00008F650000}"/>
    <cellStyle name="Normal 30 4 5" xfId="21831" xr:uid="{00000000-0005-0000-0000-000090650000}"/>
    <cellStyle name="Normal 30 4 6" xfId="22516" xr:uid="{00000000-0005-0000-0000-000091650000}"/>
    <cellStyle name="Normal 30 4 7" xfId="23031" xr:uid="{00000000-0005-0000-0000-000092650000}"/>
    <cellStyle name="Normal 30 4 8" xfId="23935" xr:uid="{00000000-0005-0000-0000-000093650000}"/>
    <cellStyle name="Normal 30 4 9" xfId="22215" xr:uid="{00000000-0005-0000-0000-000094650000}"/>
    <cellStyle name="Normal 30 5" xfId="19396" xr:uid="{00000000-0005-0000-0000-000095650000}"/>
    <cellStyle name="Normal 30 6" xfId="18327" xr:uid="{00000000-0005-0000-0000-000096650000}"/>
    <cellStyle name="Normal 31" xfId="4717" xr:uid="{00000000-0005-0000-0000-000097650000}"/>
    <cellStyle name="Normal 31 2" xfId="18328" xr:uid="{00000000-0005-0000-0000-000098650000}"/>
    <cellStyle name="Normal 32" xfId="9122" xr:uid="{00000000-0005-0000-0000-000099650000}"/>
    <cellStyle name="Normal 32 2" xfId="18391" xr:uid="{00000000-0005-0000-0000-00009A650000}"/>
    <cellStyle name="Normal 32 2 2" xfId="18550" xr:uid="{00000000-0005-0000-0000-00009B650000}"/>
    <cellStyle name="Normal 32 2 2 2" xfId="18769" xr:uid="{00000000-0005-0000-0000-00009C650000}"/>
    <cellStyle name="Normal 32 2 2 2 10" xfId="25447" xr:uid="{00000000-0005-0000-0000-00009D650000}"/>
    <cellStyle name="Normal 32 2 2 2 11" xfId="24493" xr:uid="{00000000-0005-0000-0000-00009E650000}"/>
    <cellStyle name="Normal 32 2 2 2 12" xfId="22720" xr:uid="{00000000-0005-0000-0000-00009F650000}"/>
    <cellStyle name="Normal 32 2 2 2 13" xfId="26858" xr:uid="{00000000-0005-0000-0000-0000A0650000}"/>
    <cellStyle name="Normal 32 2 2 2 2" xfId="20286" xr:uid="{00000000-0005-0000-0000-0000A1650000}"/>
    <cellStyle name="Normal 32 2 2 2 3" xfId="19736" xr:uid="{00000000-0005-0000-0000-0000A2650000}"/>
    <cellStyle name="Normal 32 2 2 2 4" xfId="21049" xr:uid="{00000000-0005-0000-0000-0000A3650000}"/>
    <cellStyle name="Normal 32 2 2 2 5" xfId="21659" xr:uid="{00000000-0005-0000-0000-0000A4650000}"/>
    <cellStyle name="Normal 32 2 2 2 6" xfId="22341" xr:uid="{00000000-0005-0000-0000-0000A5650000}"/>
    <cellStyle name="Normal 32 2 2 2 7" xfId="21700" xr:uid="{00000000-0005-0000-0000-0000A6650000}"/>
    <cellStyle name="Normal 32 2 2 2 8" xfId="23761" xr:uid="{00000000-0005-0000-0000-0000A7650000}"/>
    <cellStyle name="Normal 32 2 2 2 9" xfId="24968" xr:uid="{00000000-0005-0000-0000-0000A8650000}"/>
    <cellStyle name="Normal 32 2 2 3" xfId="18988" xr:uid="{00000000-0005-0000-0000-0000A9650000}"/>
    <cellStyle name="Normal 32 2 3" xfId="18768" xr:uid="{00000000-0005-0000-0000-0000AA650000}"/>
    <cellStyle name="Normal 32 2 3 10" xfId="25293" xr:uid="{00000000-0005-0000-0000-0000AB650000}"/>
    <cellStyle name="Normal 32 2 3 11" xfId="25750" xr:uid="{00000000-0005-0000-0000-0000AC650000}"/>
    <cellStyle name="Normal 32 2 3 12" xfId="26294" xr:uid="{00000000-0005-0000-0000-0000AD650000}"/>
    <cellStyle name="Normal 32 2 3 13" xfId="27052" xr:uid="{00000000-0005-0000-0000-0000AE650000}"/>
    <cellStyle name="Normal 32 2 3 2" xfId="20285" xr:uid="{00000000-0005-0000-0000-0000AF650000}"/>
    <cellStyle name="Normal 32 2 3 3" xfId="19737" xr:uid="{00000000-0005-0000-0000-0000B0650000}"/>
    <cellStyle name="Normal 32 2 3 4" xfId="19062" xr:uid="{00000000-0005-0000-0000-0000B1650000}"/>
    <cellStyle name="Normal 32 2 3 5" xfId="20558" xr:uid="{00000000-0005-0000-0000-0000B2650000}"/>
    <cellStyle name="Normal 32 2 3 6" xfId="20443" xr:uid="{00000000-0005-0000-0000-0000B3650000}"/>
    <cellStyle name="Normal 32 2 3 7" xfId="23402" xr:uid="{00000000-0005-0000-0000-0000B4650000}"/>
    <cellStyle name="Normal 32 2 3 8" xfId="20462" xr:uid="{00000000-0005-0000-0000-0000B5650000}"/>
    <cellStyle name="Normal 32 2 3 9" xfId="23443" xr:uid="{00000000-0005-0000-0000-0000B6650000}"/>
    <cellStyle name="Normal 32 2 4" xfId="19394" xr:uid="{00000000-0005-0000-0000-0000B7650000}"/>
    <cellStyle name="Normal 32 3" xfId="18549" xr:uid="{00000000-0005-0000-0000-0000B8650000}"/>
    <cellStyle name="Normal 32 3 2" xfId="18770" xr:uid="{00000000-0005-0000-0000-0000B9650000}"/>
    <cellStyle name="Normal 32 3 2 10" xfId="22901" xr:uid="{00000000-0005-0000-0000-0000BA650000}"/>
    <cellStyle name="Normal 32 3 2 11" xfId="24832" xr:uid="{00000000-0005-0000-0000-0000BB650000}"/>
    <cellStyle name="Normal 32 3 2 12" xfId="24331" xr:uid="{00000000-0005-0000-0000-0000BC650000}"/>
    <cellStyle name="Normal 32 3 2 13" xfId="25495" xr:uid="{00000000-0005-0000-0000-0000BD650000}"/>
    <cellStyle name="Normal 32 3 2 2" xfId="20287" xr:uid="{00000000-0005-0000-0000-0000BE650000}"/>
    <cellStyle name="Normal 32 3 2 3" xfId="19192" xr:uid="{00000000-0005-0000-0000-0000BF650000}"/>
    <cellStyle name="Normal 32 3 2 4" xfId="21340" xr:uid="{00000000-0005-0000-0000-0000C0650000}"/>
    <cellStyle name="Normal 32 3 2 5" xfId="22002" xr:uid="{00000000-0005-0000-0000-0000C1650000}"/>
    <cellStyle name="Normal 32 3 2 6" xfId="22691" xr:uid="{00000000-0005-0000-0000-0000C2650000}"/>
    <cellStyle name="Normal 32 3 2 7" xfId="23403" xr:uid="{00000000-0005-0000-0000-0000C3650000}"/>
    <cellStyle name="Normal 32 3 2 8" xfId="24111" xr:uid="{00000000-0005-0000-0000-0000C4650000}"/>
    <cellStyle name="Normal 32 3 2 9" xfId="24630" xr:uid="{00000000-0005-0000-0000-0000C5650000}"/>
    <cellStyle name="Normal 32 3 3" xfId="19393" xr:uid="{00000000-0005-0000-0000-0000C6650000}"/>
    <cellStyle name="Normal 32 4" xfId="18767" xr:uid="{00000000-0005-0000-0000-0000C7650000}"/>
    <cellStyle name="Normal 32 4 10" xfId="22399" xr:uid="{00000000-0005-0000-0000-0000C8650000}"/>
    <cellStyle name="Normal 32 4 11" xfId="26035" xr:uid="{00000000-0005-0000-0000-0000C9650000}"/>
    <cellStyle name="Normal 32 4 12" xfId="26524" xr:uid="{00000000-0005-0000-0000-0000CA650000}"/>
    <cellStyle name="Normal 32 4 13" xfId="26076" xr:uid="{00000000-0005-0000-0000-0000CB650000}"/>
    <cellStyle name="Normal 32 4 2" xfId="20284" xr:uid="{00000000-0005-0000-0000-0000CC650000}"/>
    <cellStyle name="Normal 32 4 3" xfId="20521" xr:uid="{00000000-0005-0000-0000-0000CD650000}"/>
    <cellStyle name="Normal 32 4 4" xfId="19688" xr:uid="{00000000-0005-0000-0000-0000CE650000}"/>
    <cellStyle name="Normal 32 4 5" xfId="19314" xr:uid="{00000000-0005-0000-0000-0000CF650000}"/>
    <cellStyle name="Normal 32 4 6" xfId="19980" xr:uid="{00000000-0005-0000-0000-0000D0650000}"/>
    <cellStyle name="Normal 32 4 7" xfId="23033" xr:uid="{00000000-0005-0000-0000-0000D1650000}"/>
    <cellStyle name="Normal 32 4 8" xfId="22057" xr:uid="{00000000-0005-0000-0000-0000D2650000}"/>
    <cellStyle name="Normal 32 4 9" xfId="24969" xr:uid="{00000000-0005-0000-0000-0000D3650000}"/>
    <cellStyle name="Normal 32 5" xfId="18989" xr:uid="{00000000-0005-0000-0000-0000D4650000}"/>
    <cellStyle name="Normal 32 6" xfId="18329" xr:uid="{00000000-0005-0000-0000-0000D5650000}"/>
    <cellStyle name="Normal 33" xfId="9120" xr:uid="{00000000-0005-0000-0000-0000D6650000}"/>
    <cellStyle name="Normal 33 2" xfId="18551" xr:uid="{00000000-0005-0000-0000-0000D7650000}"/>
    <cellStyle name="Normal 33 2 2" xfId="18772" xr:uid="{00000000-0005-0000-0000-0000D8650000}"/>
    <cellStyle name="Normal 33 2 2 10" xfId="25124" xr:uid="{00000000-0005-0000-0000-0000D9650000}"/>
    <cellStyle name="Normal 33 2 2 11" xfId="25751" xr:uid="{00000000-0005-0000-0000-0000DA650000}"/>
    <cellStyle name="Normal 33 2 2 12" xfId="26412" xr:uid="{00000000-0005-0000-0000-0000DB650000}"/>
    <cellStyle name="Normal 33 2 2 13" xfId="26955" xr:uid="{00000000-0005-0000-0000-0000DC650000}"/>
    <cellStyle name="Normal 33 2 2 2" xfId="20289" xr:uid="{00000000-0005-0000-0000-0000DD650000}"/>
    <cellStyle name="Normal 33 2 2 3" xfId="20910" xr:uid="{00000000-0005-0000-0000-0000DE650000}"/>
    <cellStyle name="Normal 33 2 2 4" xfId="21341" xr:uid="{00000000-0005-0000-0000-0000DF650000}"/>
    <cellStyle name="Normal 33 2 2 5" xfId="22003" xr:uid="{00000000-0005-0000-0000-0000E0650000}"/>
    <cellStyle name="Normal 33 2 2 6" xfId="22692" xr:uid="{00000000-0005-0000-0000-0000E1650000}"/>
    <cellStyle name="Normal 33 2 2 7" xfId="22042" xr:uid="{00000000-0005-0000-0000-0000E2650000}"/>
    <cellStyle name="Normal 33 2 2 8" xfId="24112" xr:uid="{00000000-0005-0000-0000-0000E3650000}"/>
    <cellStyle name="Normal 33 2 2 9" xfId="22934" xr:uid="{00000000-0005-0000-0000-0000E4650000}"/>
    <cellStyle name="Normal 33 2 3" xfId="19159" xr:uid="{00000000-0005-0000-0000-0000E5650000}"/>
    <cellStyle name="Normal 33 3" xfId="18771" xr:uid="{00000000-0005-0000-0000-0000E6650000}"/>
    <cellStyle name="Normal 33 3 10" xfId="25614" xr:uid="{00000000-0005-0000-0000-0000E7650000}"/>
    <cellStyle name="Normal 33 3 11" xfId="26180" xr:uid="{00000000-0005-0000-0000-0000E8650000}"/>
    <cellStyle name="Normal 33 3 12" xfId="25768" xr:uid="{00000000-0005-0000-0000-0000E9650000}"/>
    <cellStyle name="Normal 33 3 13" xfId="26763" xr:uid="{00000000-0005-0000-0000-0000EA650000}"/>
    <cellStyle name="Normal 33 3 2" xfId="20288" xr:uid="{00000000-0005-0000-0000-0000EB650000}"/>
    <cellStyle name="Normal 33 3 3" xfId="20655" xr:uid="{00000000-0005-0000-0000-0000EC650000}"/>
    <cellStyle name="Normal 33 3 4" xfId="19198" xr:uid="{00000000-0005-0000-0000-0000ED650000}"/>
    <cellStyle name="Normal 33 3 5" xfId="20810" xr:uid="{00000000-0005-0000-0000-0000EE650000}"/>
    <cellStyle name="Normal 33 3 6" xfId="21092" xr:uid="{00000000-0005-0000-0000-0000EF650000}"/>
    <cellStyle name="Normal 33 3 7" xfId="23032" xr:uid="{00000000-0005-0000-0000-0000F0650000}"/>
    <cellStyle name="Normal 33 3 8" xfId="21716" xr:uid="{00000000-0005-0000-0000-0000F1650000}"/>
    <cellStyle name="Normal 33 3 9" xfId="22422" xr:uid="{00000000-0005-0000-0000-0000F2650000}"/>
    <cellStyle name="Normal 33 4" xfId="18889" xr:uid="{00000000-0005-0000-0000-0000F3650000}"/>
    <cellStyle name="Normal 34" xfId="17940" xr:uid="{00000000-0005-0000-0000-0000F4650000}"/>
    <cellStyle name="Normal 34 2" xfId="17943" xr:uid="{00000000-0005-0000-0000-0000F5650000}"/>
    <cellStyle name="Normal 34 3" xfId="18393" xr:uid="{00000000-0005-0000-0000-0000F6650000}"/>
    <cellStyle name="Normal 34 3 2" xfId="18394" xr:uid="{00000000-0005-0000-0000-0000F7650000}"/>
    <cellStyle name="Normal 34 4" xfId="18392" xr:uid="{00000000-0005-0000-0000-0000F8650000}"/>
    <cellStyle name="Normal 34 5" xfId="18483" xr:uid="{00000000-0005-0000-0000-0000F9650000}"/>
    <cellStyle name="Normal 34 5 2" xfId="18552" xr:uid="{00000000-0005-0000-0000-0000FA650000}"/>
    <cellStyle name="Normal 34 5 2 2" xfId="18774" xr:uid="{00000000-0005-0000-0000-0000FB650000}"/>
    <cellStyle name="Normal 34 5 2 2 10" xfId="23275" xr:uid="{00000000-0005-0000-0000-0000FC650000}"/>
    <cellStyle name="Normal 34 5 2 2 11" xfId="20085" xr:uid="{00000000-0005-0000-0000-0000FD650000}"/>
    <cellStyle name="Normal 34 5 2 2 12" xfId="24328" xr:uid="{00000000-0005-0000-0000-0000FE650000}"/>
    <cellStyle name="Normal 34 5 2 2 13" xfId="25328" xr:uid="{00000000-0005-0000-0000-0000FF650000}"/>
    <cellStyle name="Normal 34 5 2 2 2" xfId="20291" xr:uid="{00000000-0005-0000-0000-000000660000}"/>
    <cellStyle name="Normal 34 5 2 2 3" xfId="20909" xr:uid="{00000000-0005-0000-0000-000001660000}"/>
    <cellStyle name="Normal 34 5 2 2 4" xfId="19176" xr:uid="{00000000-0005-0000-0000-000002660000}"/>
    <cellStyle name="Normal 34 5 2 2 5" xfId="20033" xr:uid="{00000000-0005-0000-0000-000003660000}"/>
    <cellStyle name="Normal 34 5 2 2 6" xfId="21382" xr:uid="{00000000-0005-0000-0000-000004660000}"/>
    <cellStyle name="Normal 34 5 2 2 7" xfId="21880" xr:uid="{00000000-0005-0000-0000-000005660000}"/>
    <cellStyle name="Normal 34 5 2 2 8" xfId="21888" xr:uid="{00000000-0005-0000-0000-000006660000}"/>
    <cellStyle name="Normal 34 5 2 2 9" xfId="24631" xr:uid="{00000000-0005-0000-0000-000007660000}"/>
    <cellStyle name="Normal 34 5 2 3" xfId="18987" xr:uid="{00000000-0005-0000-0000-000008660000}"/>
    <cellStyle name="Normal 34 5 3" xfId="18773" xr:uid="{00000000-0005-0000-0000-000009660000}"/>
    <cellStyle name="Normal 34 5 3 10" xfId="22437" xr:uid="{00000000-0005-0000-0000-00000A660000}"/>
    <cellStyle name="Normal 34 5 3 11" xfId="24207" xr:uid="{00000000-0005-0000-0000-00000B660000}"/>
    <cellStyle name="Normal 34 5 3 12" xfId="26641" xr:uid="{00000000-0005-0000-0000-00000C660000}"/>
    <cellStyle name="Normal 34 5 3 13" xfId="20051" xr:uid="{00000000-0005-0000-0000-00000D660000}"/>
    <cellStyle name="Normal 34 5 3 2" xfId="20290" xr:uid="{00000000-0005-0000-0000-00000E660000}"/>
    <cellStyle name="Normal 34 5 3 3" xfId="19735" xr:uid="{00000000-0005-0000-0000-00000F660000}"/>
    <cellStyle name="Normal 34 5 3 4" xfId="21048" xr:uid="{00000000-0005-0000-0000-000010660000}"/>
    <cellStyle name="Normal 34 5 3 5" xfId="21658" xr:uid="{00000000-0005-0000-0000-000011660000}"/>
    <cellStyle name="Normal 34 5 3 6" xfId="22340" xr:uid="{00000000-0005-0000-0000-000012660000}"/>
    <cellStyle name="Normal 34 5 3 7" xfId="19931" xr:uid="{00000000-0005-0000-0000-000013660000}"/>
    <cellStyle name="Normal 34 5 3 8" xfId="23760" xr:uid="{00000000-0005-0000-0000-000014660000}"/>
    <cellStyle name="Normal 34 5 3 9" xfId="22895" xr:uid="{00000000-0005-0000-0000-000015660000}"/>
    <cellStyle name="Normal 34 5 4" xfId="19392" xr:uid="{00000000-0005-0000-0000-000016660000}"/>
    <cellStyle name="Normal 34 6" xfId="18333" xr:uid="{00000000-0005-0000-0000-000017660000}"/>
    <cellStyle name="Normal 35" xfId="18395" xr:uid="{00000000-0005-0000-0000-000018660000}"/>
    <cellStyle name="Normal 35 2" xfId="18553" xr:uid="{00000000-0005-0000-0000-000019660000}"/>
    <cellStyle name="Normal 35 2 2" xfId="18776" xr:uid="{00000000-0005-0000-0000-00001A660000}"/>
    <cellStyle name="Normal 35 2 2 10" xfId="24680" xr:uid="{00000000-0005-0000-0000-00001B660000}"/>
    <cellStyle name="Normal 35 2 2 11" xfId="25901" xr:uid="{00000000-0005-0000-0000-00001C660000}"/>
    <cellStyle name="Normal 35 2 2 12" xfId="26413" xr:uid="{00000000-0005-0000-0000-00001D660000}"/>
    <cellStyle name="Normal 35 2 2 13" xfId="26956" xr:uid="{00000000-0005-0000-0000-00001E660000}"/>
    <cellStyle name="Normal 35 2 2 2" xfId="20293" xr:uid="{00000000-0005-0000-0000-00001F660000}"/>
    <cellStyle name="Normal 35 2 2 3" xfId="19734" xr:uid="{00000000-0005-0000-0000-000020660000}"/>
    <cellStyle name="Normal 35 2 2 4" xfId="19450" xr:uid="{00000000-0005-0000-0000-000021660000}"/>
    <cellStyle name="Normal 35 2 2 5" xfId="20006" xr:uid="{00000000-0005-0000-0000-000022660000}"/>
    <cellStyle name="Normal 35 2 2 6" xfId="21244" xr:uid="{00000000-0005-0000-0000-000023660000}"/>
    <cellStyle name="Normal 35 2 2 7" xfId="23590" xr:uid="{00000000-0005-0000-0000-000024660000}"/>
    <cellStyle name="Normal 35 2 2 8" xfId="21919" xr:uid="{00000000-0005-0000-0000-000025660000}"/>
    <cellStyle name="Normal 35 2 2 9" xfId="22788" xr:uid="{00000000-0005-0000-0000-000026660000}"/>
    <cellStyle name="Normal 35 2 3" xfId="19265" xr:uid="{00000000-0005-0000-0000-000027660000}"/>
    <cellStyle name="Normal 35 3" xfId="18775" xr:uid="{00000000-0005-0000-0000-000028660000}"/>
    <cellStyle name="Normal 35 3 10" xfId="24467" xr:uid="{00000000-0005-0000-0000-000029660000}"/>
    <cellStyle name="Normal 35 3 11" xfId="26036" xr:uid="{00000000-0005-0000-0000-00002A660000}"/>
    <cellStyle name="Normal 35 3 12" xfId="26640" xr:uid="{00000000-0005-0000-0000-00002B660000}"/>
    <cellStyle name="Normal 35 3 13" xfId="26765" xr:uid="{00000000-0005-0000-0000-00002C660000}"/>
    <cellStyle name="Normal 35 3 2" xfId="20292" xr:uid="{00000000-0005-0000-0000-00002D660000}"/>
    <cellStyle name="Normal 35 3 3" xfId="20656" xr:uid="{00000000-0005-0000-0000-00002E660000}"/>
    <cellStyle name="Normal 35 3 4" xfId="19124" xr:uid="{00000000-0005-0000-0000-00002F660000}"/>
    <cellStyle name="Normal 35 3 5" xfId="19133" xr:uid="{00000000-0005-0000-0000-000030660000}"/>
    <cellStyle name="Normal 35 3 6" xfId="20614" xr:uid="{00000000-0005-0000-0000-000031660000}"/>
    <cellStyle name="Normal 35 3 7" xfId="23223" xr:uid="{00000000-0005-0000-0000-000032660000}"/>
    <cellStyle name="Normal 35 3 8" xfId="22384" xr:uid="{00000000-0005-0000-0000-000033660000}"/>
    <cellStyle name="Normal 35 3 9" xfId="24796" xr:uid="{00000000-0005-0000-0000-000034660000}"/>
    <cellStyle name="Normal 35 4" xfId="19391" xr:uid="{00000000-0005-0000-0000-000035660000}"/>
    <cellStyle name="Normal 36" xfId="18396" xr:uid="{00000000-0005-0000-0000-000036660000}"/>
    <cellStyle name="Normal 36 2" xfId="18554" xr:uid="{00000000-0005-0000-0000-000037660000}"/>
    <cellStyle name="Normal 36 2 2" xfId="18778" xr:uid="{00000000-0005-0000-0000-000038660000}"/>
    <cellStyle name="Normal 36 2 2 10" xfId="25290" xr:uid="{00000000-0005-0000-0000-000039660000}"/>
    <cellStyle name="Normal 36 2 2 11" xfId="25900" xr:uid="{00000000-0005-0000-0000-00003A660000}"/>
    <cellStyle name="Normal 36 2 2 12" xfId="25163" xr:uid="{00000000-0005-0000-0000-00003B660000}"/>
    <cellStyle name="Normal 36 2 2 13" xfId="26957" xr:uid="{00000000-0005-0000-0000-00003C660000}"/>
    <cellStyle name="Normal 36 2 2 2" xfId="20295" xr:uid="{00000000-0005-0000-0000-00003D660000}"/>
    <cellStyle name="Normal 36 2 2 3" xfId="18944" xr:uid="{00000000-0005-0000-0000-00003E660000}"/>
    <cellStyle name="Normal 36 2 2 4" xfId="21495" xr:uid="{00000000-0005-0000-0000-00003F660000}"/>
    <cellStyle name="Normal 36 2 2 5" xfId="22181" xr:uid="{00000000-0005-0000-0000-000040660000}"/>
    <cellStyle name="Normal 36 2 2 6" xfId="22867" xr:uid="{00000000-0005-0000-0000-000041660000}"/>
    <cellStyle name="Normal 36 2 2 7" xfId="23589" xr:uid="{00000000-0005-0000-0000-000042660000}"/>
    <cellStyle name="Normal 36 2 2 8" xfId="24296" xr:uid="{00000000-0005-0000-0000-000043660000}"/>
    <cellStyle name="Normal 36 2 2 9" xfId="24452" xr:uid="{00000000-0005-0000-0000-000044660000}"/>
    <cellStyle name="Normal 36 2 3" xfId="19266" xr:uid="{00000000-0005-0000-0000-000045660000}"/>
    <cellStyle name="Normal 36 3" xfId="18777" xr:uid="{00000000-0005-0000-0000-000046660000}"/>
    <cellStyle name="Normal 36 3 10" xfId="25448" xr:uid="{00000000-0005-0000-0000-000047660000}"/>
    <cellStyle name="Normal 36 3 11" xfId="22444" xr:uid="{00000000-0005-0000-0000-000048660000}"/>
    <cellStyle name="Normal 36 3 12" xfId="24205" xr:uid="{00000000-0005-0000-0000-000049660000}"/>
    <cellStyle name="Normal 36 3 13" xfId="25331" xr:uid="{00000000-0005-0000-0000-00004A660000}"/>
    <cellStyle name="Normal 36 3 2" xfId="20294" xr:uid="{00000000-0005-0000-0000-00004B660000}"/>
    <cellStyle name="Normal 36 3 3" xfId="19733" xr:uid="{00000000-0005-0000-0000-00004C660000}"/>
    <cellStyle name="Normal 36 3 4" xfId="21204" xr:uid="{00000000-0005-0000-0000-00004D660000}"/>
    <cellStyle name="Normal 36 3 5" xfId="21836" xr:uid="{00000000-0005-0000-0000-00004E660000}"/>
    <cellStyle name="Normal 36 3 6" xfId="22521" xr:uid="{00000000-0005-0000-0000-00004F660000}"/>
    <cellStyle name="Normal 36 3 7" xfId="20948" xr:uid="{00000000-0005-0000-0000-000050660000}"/>
    <cellStyle name="Normal 36 3 8" xfId="23940" xr:uid="{00000000-0005-0000-0000-000051660000}"/>
    <cellStyle name="Normal 36 3 9" xfId="24970" xr:uid="{00000000-0005-0000-0000-000052660000}"/>
    <cellStyle name="Normal 36 4" xfId="19592" xr:uid="{00000000-0005-0000-0000-000053660000}"/>
    <cellStyle name="Normal 37" xfId="18397" xr:uid="{00000000-0005-0000-0000-000054660000}"/>
    <cellStyle name="Normal 37 2" xfId="18398" xr:uid="{00000000-0005-0000-0000-000055660000}"/>
    <cellStyle name="Normal 37 3" xfId="18399" xr:uid="{00000000-0005-0000-0000-000056660000}"/>
    <cellStyle name="Normal 37 3 2" xfId="18400" xr:uid="{00000000-0005-0000-0000-000057660000}"/>
    <cellStyle name="Normal 38" xfId="18401" xr:uid="{00000000-0005-0000-0000-000058660000}"/>
    <cellStyle name="Normal 38 2" xfId="18402" xr:uid="{00000000-0005-0000-0000-000059660000}"/>
    <cellStyle name="Normal 38 3" xfId="18403" xr:uid="{00000000-0005-0000-0000-00005A660000}"/>
    <cellStyle name="Normal 38 3 2" xfId="18404" xr:uid="{00000000-0005-0000-0000-00005B660000}"/>
    <cellStyle name="Normal 39" xfId="18405" xr:uid="{00000000-0005-0000-0000-00005C660000}"/>
    <cellStyle name="Normal 39 2" xfId="18555" xr:uid="{00000000-0005-0000-0000-00005D660000}"/>
    <cellStyle name="Normal 39 2 2" xfId="18780" xr:uid="{00000000-0005-0000-0000-00005E660000}"/>
    <cellStyle name="Normal 39 2 2 10" xfId="22085" xr:uid="{00000000-0005-0000-0000-00005F660000}"/>
    <cellStyle name="Normal 39 2 2 11" xfId="21684" xr:uid="{00000000-0005-0000-0000-000060660000}"/>
    <cellStyle name="Normal 39 2 2 12" xfId="26414" xr:uid="{00000000-0005-0000-0000-000061660000}"/>
    <cellStyle name="Normal 39 2 2 13" xfId="25497" xr:uid="{00000000-0005-0000-0000-000062660000}"/>
    <cellStyle name="Normal 39 2 2 2" xfId="20297" xr:uid="{00000000-0005-0000-0000-000063660000}"/>
    <cellStyle name="Normal 39 2 2 3" xfId="20780" xr:uid="{00000000-0005-0000-0000-000064660000}"/>
    <cellStyle name="Normal 39 2 2 4" xfId="21494" xr:uid="{00000000-0005-0000-0000-000065660000}"/>
    <cellStyle name="Normal 39 2 2 5" xfId="22180" xr:uid="{00000000-0005-0000-0000-000066660000}"/>
    <cellStyle name="Normal 39 2 2 6" xfId="22866" xr:uid="{00000000-0005-0000-0000-000067660000}"/>
    <cellStyle name="Normal 39 2 2 7" xfId="22096" xr:uid="{00000000-0005-0000-0000-000068660000}"/>
    <cellStyle name="Normal 39 2 2 8" xfId="24295" xr:uid="{00000000-0005-0000-0000-000069660000}"/>
    <cellStyle name="Normal 39 2 2 9" xfId="20849" xr:uid="{00000000-0005-0000-0000-00006A660000}"/>
    <cellStyle name="Normal 39 2 3" xfId="18986" xr:uid="{00000000-0005-0000-0000-00006B660000}"/>
    <cellStyle name="Normal 39 3" xfId="18779" xr:uid="{00000000-0005-0000-0000-00006C660000}"/>
    <cellStyle name="Normal 39 3 10" xfId="22902" xr:uid="{00000000-0005-0000-0000-00006D660000}"/>
    <cellStyle name="Normal 39 3 11" xfId="26179" xr:uid="{00000000-0005-0000-0000-00006E660000}"/>
    <cellStyle name="Normal 39 3 12" xfId="26050" xr:uid="{00000000-0005-0000-0000-00006F660000}"/>
    <cellStyle name="Normal 39 3 13" xfId="26764" xr:uid="{00000000-0005-0000-0000-000070660000}"/>
    <cellStyle name="Normal 39 3 2" xfId="20296" xr:uid="{00000000-0005-0000-0000-000071660000}"/>
    <cellStyle name="Normal 39 3 3" xfId="20657" xr:uid="{00000000-0005-0000-0000-000072660000}"/>
    <cellStyle name="Normal 39 3 4" xfId="19366" xr:uid="{00000000-0005-0000-0000-000073660000}"/>
    <cellStyle name="Normal 39 3 5" xfId="19426" xr:uid="{00000000-0005-0000-0000-000074660000}"/>
    <cellStyle name="Normal 39 3 6" xfId="19994" xr:uid="{00000000-0005-0000-0000-000075660000}"/>
    <cellStyle name="Normal 39 3 7" xfId="23224" xr:uid="{00000000-0005-0000-0000-000076660000}"/>
    <cellStyle name="Normal 39 3 8" xfId="22732" xr:uid="{00000000-0005-0000-0000-000077660000}"/>
    <cellStyle name="Normal 39 3 9" xfId="23307" xr:uid="{00000000-0005-0000-0000-000078660000}"/>
    <cellStyle name="Normal 39 4" xfId="19591" xr:uid="{00000000-0005-0000-0000-000079660000}"/>
    <cellStyle name="Normal 4" xfId="67" xr:uid="{00000000-0005-0000-0000-00007A660000}"/>
    <cellStyle name="Normal 4 10" xfId="18122" xr:uid="{00000000-0005-0000-0000-00007B660000}"/>
    <cellStyle name="Normal 4 11" xfId="18123" xr:uid="{00000000-0005-0000-0000-00007C660000}"/>
    <cellStyle name="Normal 4 2" xfId="272" xr:uid="{00000000-0005-0000-0000-00007D660000}"/>
    <cellStyle name="Normal 4 2 2" xfId="27302" xr:uid="{00000000-0005-0000-0000-00007E660000}"/>
    <cellStyle name="Normal 4 2 2 2" xfId="27314" xr:uid="{00000000-0005-0000-0000-00007F660000}"/>
    <cellStyle name="Normal 4 2 2 2 2" xfId="27463" xr:uid="{00000000-0005-0000-0000-000080660000}"/>
    <cellStyle name="Normal 4 2 2 2 3" xfId="27492" xr:uid="{00000000-0005-0000-0000-000081660000}"/>
    <cellStyle name="Normal 4 2 2 3" xfId="27338" xr:uid="{00000000-0005-0000-0000-000082660000}"/>
    <cellStyle name="Normal 4 2 2 3 2" xfId="27479" xr:uid="{00000000-0005-0000-0000-000083660000}"/>
    <cellStyle name="Normal 4 2 2 4" xfId="27444" xr:uid="{00000000-0005-0000-0000-000084660000}"/>
    <cellStyle name="Normal 4 2 3" xfId="27309" xr:uid="{00000000-0005-0000-0000-000085660000}"/>
    <cellStyle name="Normal 4 2 3 2" xfId="27450" xr:uid="{00000000-0005-0000-0000-000086660000}"/>
    <cellStyle name="Normal 4 2 3 3" xfId="27490" xr:uid="{00000000-0005-0000-0000-000087660000}"/>
    <cellStyle name="Normal 4 2 4" xfId="27328" xr:uid="{00000000-0005-0000-0000-000088660000}"/>
    <cellStyle name="Normal 4 2 4 2" xfId="27472" xr:uid="{00000000-0005-0000-0000-000089660000}"/>
    <cellStyle name="Normal 4 2 5" xfId="27440" xr:uid="{00000000-0005-0000-0000-00008A660000}"/>
    <cellStyle name="Normal 4 2 6" xfId="27299" xr:uid="{00000000-0005-0000-0000-00008B660000}"/>
    <cellStyle name="Normal 4 2 6 2" xfId="27559" xr:uid="{00000000-0005-0000-0000-00008C660000}"/>
    <cellStyle name="Normal 4 3" xfId="1088" xr:uid="{00000000-0005-0000-0000-00008D660000}"/>
    <cellStyle name="Normal 4 3 2" xfId="1182" xr:uid="{00000000-0005-0000-0000-00008E660000}"/>
    <cellStyle name="Normal 4 3 2 2" xfId="27460" xr:uid="{00000000-0005-0000-0000-00008F660000}"/>
    <cellStyle name="Normal 4 3 2 3" xfId="27311" xr:uid="{00000000-0005-0000-0000-000090660000}"/>
    <cellStyle name="Normal 4 3 2 4" xfId="27511" xr:uid="{00000000-0005-0000-0000-000091660000}"/>
    <cellStyle name="Normal 4 3 3" xfId="27336" xr:uid="{00000000-0005-0000-0000-000092660000}"/>
    <cellStyle name="Normal 4 3 3 2" xfId="27476" xr:uid="{00000000-0005-0000-0000-000093660000}"/>
    <cellStyle name="Normal 4 3 4" xfId="27453" xr:uid="{00000000-0005-0000-0000-000094660000}"/>
    <cellStyle name="Normal 4 3 5" xfId="27505" xr:uid="{00000000-0005-0000-0000-000095660000}"/>
    <cellStyle name="Normal 4 4" xfId="18124" xr:uid="{00000000-0005-0000-0000-000096660000}"/>
    <cellStyle name="Normal 4 4 2" xfId="27445" xr:uid="{00000000-0005-0000-0000-000097660000}"/>
    <cellStyle name="Normal 4 4 3" xfId="27306" xr:uid="{00000000-0005-0000-0000-000098660000}"/>
    <cellStyle name="Normal 4 4 4" xfId="27542" xr:uid="{00000000-0005-0000-0000-000099660000}"/>
    <cellStyle name="Normal 4 5" xfId="18125" xr:uid="{00000000-0005-0000-0000-00009A660000}"/>
    <cellStyle name="Normal 4 5 2" xfId="27469" xr:uid="{00000000-0005-0000-0000-00009B660000}"/>
    <cellStyle name="Normal 4 5 2 2" xfId="29411" xr:uid="{00000000-0005-0000-0000-00009C660000}"/>
    <cellStyle name="Normal 4 5 3" xfId="27321" xr:uid="{00000000-0005-0000-0000-00009D660000}"/>
    <cellStyle name="Normal 4 6" xfId="18126" xr:uid="{00000000-0005-0000-0000-00009E660000}"/>
    <cellStyle name="Normal 4 6 2" xfId="27543" xr:uid="{00000000-0005-0000-0000-00009F660000}"/>
    <cellStyle name="Normal 4 6 3" xfId="27532" xr:uid="{00000000-0005-0000-0000-0000A0660000}"/>
    <cellStyle name="Normal 4 7" xfId="18127" xr:uid="{00000000-0005-0000-0000-0000A1660000}"/>
    <cellStyle name="Normal 4 7 2" xfId="27449" xr:uid="{00000000-0005-0000-0000-0000A2660000}"/>
    <cellStyle name="Normal 4 8" xfId="18128" xr:uid="{00000000-0005-0000-0000-0000A3660000}"/>
    <cellStyle name="Normal 4 9" xfId="18129" xr:uid="{00000000-0005-0000-0000-0000A4660000}"/>
    <cellStyle name="Normal 40" xfId="18406" xr:uid="{00000000-0005-0000-0000-0000A5660000}"/>
    <cellStyle name="Normal 40 2" xfId="18556" xr:uid="{00000000-0005-0000-0000-0000A6660000}"/>
    <cellStyle name="Normal 40 2 2" xfId="18782" xr:uid="{00000000-0005-0000-0000-0000A7660000}"/>
    <cellStyle name="Normal 40 2 2 10" xfId="25125" xr:uid="{00000000-0005-0000-0000-0000A8660000}"/>
    <cellStyle name="Normal 40 2 2 11" xfId="24854" xr:uid="{00000000-0005-0000-0000-0000A9660000}"/>
    <cellStyle name="Normal 40 2 2 12" xfId="25483" xr:uid="{00000000-0005-0000-0000-0000AA660000}"/>
    <cellStyle name="Normal 40 2 2 13" xfId="26078" xr:uid="{00000000-0005-0000-0000-0000AB660000}"/>
    <cellStyle name="Normal 40 2 2 2" xfId="20299" xr:uid="{00000000-0005-0000-0000-0000AC660000}"/>
    <cellStyle name="Normal 40 2 2 3" xfId="20911" xr:uid="{00000000-0005-0000-0000-0000AD660000}"/>
    <cellStyle name="Normal 40 2 2 4" xfId="19689" xr:uid="{00000000-0005-0000-0000-0000AE660000}"/>
    <cellStyle name="Normal 40 2 2 5" xfId="19888" xr:uid="{00000000-0005-0000-0000-0000AF660000}"/>
    <cellStyle name="Normal 40 2 2 6" xfId="21435" xr:uid="{00000000-0005-0000-0000-0000B0660000}"/>
    <cellStyle name="Normal 40 2 2 7" xfId="20992" xr:uid="{00000000-0005-0000-0000-0000B1660000}"/>
    <cellStyle name="Normal 40 2 2 8" xfId="20417" xr:uid="{00000000-0005-0000-0000-0000B2660000}"/>
    <cellStyle name="Normal 40 2 2 9" xfId="19136" xr:uid="{00000000-0005-0000-0000-0000B3660000}"/>
    <cellStyle name="Normal 40 2 3" xfId="19588" xr:uid="{00000000-0005-0000-0000-0000B4660000}"/>
    <cellStyle name="Normal 40 3" xfId="18781" xr:uid="{00000000-0005-0000-0000-0000B5660000}"/>
    <cellStyle name="Normal 40 3 10" xfId="25449" xr:uid="{00000000-0005-0000-0000-0000B6660000}"/>
    <cellStyle name="Normal 40 3 11" xfId="20433" xr:uid="{00000000-0005-0000-0000-0000B7660000}"/>
    <cellStyle name="Normal 40 3 12" xfId="26525" xr:uid="{00000000-0005-0000-0000-0000B8660000}"/>
    <cellStyle name="Normal 40 3 13" xfId="23670" xr:uid="{00000000-0005-0000-0000-0000B9660000}"/>
    <cellStyle name="Normal 40 3 2" xfId="20298" xr:uid="{00000000-0005-0000-0000-0000BA660000}"/>
    <cellStyle name="Normal 40 3 3" xfId="19732" xr:uid="{00000000-0005-0000-0000-0000BB660000}"/>
    <cellStyle name="Normal 40 3 4" xfId="21205" xr:uid="{00000000-0005-0000-0000-0000BC660000}"/>
    <cellStyle name="Normal 40 3 5" xfId="21837" xr:uid="{00000000-0005-0000-0000-0000BD660000}"/>
    <cellStyle name="Normal 40 3 6" xfId="22522" xr:uid="{00000000-0005-0000-0000-0000BE660000}"/>
    <cellStyle name="Normal 40 3 7" xfId="21568" xr:uid="{00000000-0005-0000-0000-0000BF660000}"/>
    <cellStyle name="Normal 40 3 8" xfId="23941" xr:uid="{00000000-0005-0000-0000-0000C0660000}"/>
    <cellStyle name="Normal 40 3 9" xfId="21001" xr:uid="{00000000-0005-0000-0000-0000C1660000}"/>
    <cellStyle name="Normal 40 4" xfId="19262" xr:uid="{00000000-0005-0000-0000-0000C2660000}"/>
    <cellStyle name="Normal 41" xfId="18407" xr:uid="{00000000-0005-0000-0000-0000C3660000}"/>
    <cellStyle name="Normal 41 2" xfId="18557" xr:uid="{00000000-0005-0000-0000-0000C4660000}"/>
    <cellStyle name="Normal 41 2 2" xfId="18784" xr:uid="{00000000-0005-0000-0000-0000C5660000}"/>
    <cellStyle name="Normal 41 2 2 10" xfId="23803" xr:uid="{00000000-0005-0000-0000-0000C6660000}"/>
    <cellStyle name="Normal 41 2 2 11" xfId="25752" xr:uid="{00000000-0005-0000-0000-0000C7660000}"/>
    <cellStyle name="Normal 41 2 2 12" xfId="26296" xr:uid="{00000000-0005-0000-0000-0000C8660000}"/>
    <cellStyle name="Normal 41 2 2 13" xfId="27054" xr:uid="{00000000-0005-0000-0000-0000C9660000}"/>
    <cellStyle name="Normal 41 2 2 2" xfId="20301" xr:uid="{00000000-0005-0000-0000-0000CA660000}"/>
    <cellStyle name="Normal 41 2 2 3" xfId="19731" xr:uid="{00000000-0005-0000-0000-0000CB660000}"/>
    <cellStyle name="Normal 41 2 2 4" xfId="19023" xr:uid="{00000000-0005-0000-0000-0000CC660000}"/>
    <cellStyle name="Normal 41 2 2 5" xfId="19067" xr:uid="{00000000-0005-0000-0000-0000CD660000}"/>
    <cellStyle name="Normal 41 2 2 6" xfId="19868" xr:uid="{00000000-0005-0000-0000-0000CE660000}"/>
    <cellStyle name="Normal 41 2 2 7" xfId="23404" xr:uid="{00000000-0005-0000-0000-0000CF660000}"/>
    <cellStyle name="Normal 41 2 2 8" xfId="22212" xr:uid="{00000000-0005-0000-0000-0000D0660000}"/>
    <cellStyle name="Normal 41 2 2 9" xfId="24628" xr:uid="{00000000-0005-0000-0000-0000D1660000}"/>
    <cellStyle name="Normal 41 2 3" xfId="19590" xr:uid="{00000000-0005-0000-0000-0000D2660000}"/>
    <cellStyle name="Normal 41 3" xfId="18783" xr:uid="{00000000-0005-0000-0000-0000D3660000}"/>
    <cellStyle name="Normal 41 3 10" xfId="22258" xr:uid="{00000000-0005-0000-0000-0000D4660000}"/>
    <cellStyle name="Normal 41 3 11" xfId="26152" xr:uid="{00000000-0005-0000-0000-0000D5660000}"/>
    <cellStyle name="Normal 41 3 12" xfId="26642" xr:uid="{00000000-0005-0000-0000-0000D6660000}"/>
    <cellStyle name="Normal 41 3 13" xfId="26863" xr:uid="{00000000-0005-0000-0000-0000D7660000}"/>
    <cellStyle name="Normal 41 3 2" xfId="20300" xr:uid="{00000000-0005-0000-0000-0000D8660000}"/>
    <cellStyle name="Normal 41 3 3" xfId="20523" xr:uid="{00000000-0005-0000-0000-0000D9660000}"/>
    <cellStyle name="Normal 41 3 4" xfId="19312" xr:uid="{00000000-0005-0000-0000-0000DA660000}"/>
    <cellStyle name="Normal 41 3 5" xfId="19029" xr:uid="{00000000-0005-0000-0000-0000DB660000}"/>
    <cellStyle name="Normal 41 3 6" xfId="20985" xr:uid="{00000000-0005-0000-0000-0000DC660000}"/>
    <cellStyle name="Normal 41 3 7" xfId="23225" xr:uid="{00000000-0005-0000-0000-0000DD660000}"/>
    <cellStyle name="Normal 41 3 8" xfId="21530" xr:uid="{00000000-0005-0000-0000-0000DE660000}"/>
    <cellStyle name="Normal 41 3 9" xfId="24797" xr:uid="{00000000-0005-0000-0000-0000DF660000}"/>
    <cellStyle name="Normal 41 4" xfId="19264" xr:uid="{00000000-0005-0000-0000-0000E0660000}"/>
    <cellStyle name="Normal 42" xfId="18408" xr:uid="{00000000-0005-0000-0000-0000E1660000}"/>
    <cellStyle name="Normal 42 2" xfId="18409" xr:uid="{00000000-0005-0000-0000-0000E2660000}"/>
    <cellStyle name="Normal 42 3" xfId="18410" xr:uid="{00000000-0005-0000-0000-0000E3660000}"/>
    <cellStyle name="Normal 42 3 2" xfId="18411" xr:uid="{00000000-0005-0000-0000-0000E4660000}"/>
    <cellStyle name="Normal 43" xfId="18412" xr:uid="{00000000-0005-0000-0000-0000E5660000}"/>
    <cellStyle name="Normal 43 2" xfId="18558" xr:uid="{00000000-0005-0000-0000-0000E6660000}"/>
    <cellStyle name="Normal 43 2 2" xfId="18786" xr:uid="{00000000-0005-0000-0000-0000E7660000}"/>
    <cellStyle name="Normal 43 2 2 10" xfId="25126" xr:uid="{00000000-0005-0000-0000-0000E8660000}"/>
    <cellStyle name="Normal 43 2 2 11" xfId="25902" xr:uid="{00000000-0005-0000-0000-0000E9660000}"/>
    <cellStyle name="Normal 43 2 2 12" xfId="22541" xr:uid="{00000000-0005-0000-0000-0000EA660000}"/>
    <cellStyle name="Normal 43 2 2 13" xfId="27053" xr:uid="{00000000-0005-0000-0000-0000EB660000}"/>
    <cellStyle name="Normal 43 2 2 2" xfId="20303" xr:uid="{00000000-0005-0000-0000-0000EC660000}"/>
    <cellStyle name="Normal 43 2 2 3" xfId="19028" xr:uid="{00000000-0005-0000-0000-0000ED660000}"/>
    <cellStyle name="Normal 43 2 2 4" xfId="21342" xr:uid="{00000000-0005-0000-0000-0000EE660000}"/>
    <cellStyle name="Normal 43 2 2 5" xfId="22004" xr:uid="{00000000-0005-0000-0000-0000EF660000}"/>
    <cellStyle name="Normal 43 2 2 6" xfId="22693" xr:uid="{00000000-0005-0000-0000-0000F0660000}"/>
    <cellStyle name="Normal 43 2 2 7" xfId="23591" xr:uid="{00000000-0005-0000-0000-0000F1660000}"/>
    <cellStyle name="Normal 43 2 2 8" xfId="24113" xr:uid="{00000000-0005-0000-0000-0000F2660000}"/>
    <cellStyle name="Normal 43 2 2 9" xfId="21225" xr:uid="{00000000-0005-0000-0000-0000F3660000}"/>
    <cellStyle name="Normal 43 2 3" xfId="19589" xr:uid="{00000000-0005-0000-0000-0000F4660000}"/>
    <cellStyle name="Normal 43 3" xfId="18785" xr:uid="{00000000-0005-0000-0000-0000F5660000}"/>
    <cellStyle name="Normal 43 3 10" xfId="25616" xr:uid="{00000000-0005-0000-0000-0000F6660000}"/>
    <cellStyle name="Normal 43 3 11" xfId="20690" xr:uid="{00000000-0005-0000-0000-0000F7660000}"/>
    <cellStyle name="Normal 43 3 12" xfId="22417" xr:uid="{00000000-0005-0000-0000-0000F8660000}"/>
    <cellStyle name="Normal 43 3 13" xfId="25327" xr:uid="{00000000-0005-0000-0000-0000F9660000}"/>
    <cellStyle name="Normal 43 3 2" xfId="20302" xr:uid="{00000000-0005-0000-0000-0000FA660000}"/>
    <cellStyle name="Normal 43 3 3" xfId="19730" xr:uid="{00000000-0005-0000-0000-0000FB660000}"/>
    <cellStyle name="Normal 43 3 4" xfId="21206" xr:uid="{00000000-0005-0000-0000-0000FC660000}"/>
    <cellStyle name="Normal 43 3 5" xfId="21838" xr:uid="{00000000-0005-0000-0000-0000FD660000}"/>
    <cellStyle name="Normal 43 3 6" xfId="22523" xr:uid="{00000000-0005-0000-0000-0000FE660000}"/>
    <cellStyle name="Normal 43 3 7" xfId="21698" xr:uid="{00000000-0005-0000-0000-0000FF660000}"/>
    <cellStyle name="Normal 43 3 8" xfId="23942" xr:uid="{00000000-0005-0000-0000-000000670000}"/>
    <cellStyle name="Normal 43 3 9" xfId="22933" xr:uid="{00000000-0005-0000-0000-000001670000}"/>
    <cellStyle name="Normal 43 4" xfId="19263" xr:uid="{00000000-0005-0000-0000-000002670000}"/>
    <cellStyle name="Normal 44" xfId="18413" xr:uid="{00000000-0005-0000-0000-000003670000}"/>
    <cellStyle name="Normal 44 2" xfId="18414" xr:uid="{00000000-0005-0000-0000-000004670000}"/>
    <cellStyle name="Normal 44 2 2" xfId="18415" xr:uid="{00000000-0005-0000-0000-000005670000}"/>
    <cellStyle name="Normal 44 3" xfId="18416" xr:uid="{00000000-0005-0000-0000-000006670000}"/>
    <cellStyle name="Normal 45" xfId="18417" xr:uid="{00000000-0005-0000-0000-000007670000}"/>
    <cellStyle name="Normal 45 2" xfId="18559" xr:uid="{00000000-0005-0000-0000-000008670000}"/>
    <cellStyle name="Normal 45 2 2" xfId="18788" xr:uid="{00000000-0005-0000-0000-000009670000}"/>
    <cellStyle name="Normal 45 2 2 10" xfId="23132" xr:uid="{00000000-0005-0000-0000-00000A670000}"/>
    <cellStyle name="Normal 45 2 2 11" xfId="19221" xr:uid="{00000000-0005-0000-0000-00000B670000}"/>
    <cellStyle name="Normal 45 2 2 12" xfId="26051" xr:uid="{00000000-0005-0000-0000-00000C670000}"/>
    <cellStyle name="Normal 45 2 2 13" xfId="26071" xr:uid="{00000000-0005-0000-0000-00000D670000}"/>
    <cellStyle name="Normal 45 2 2 2" xfId="20305" xr:uid="{00000000-0005-0000-0000-00000E670000}"/>
    <cellStyle name="Normal 45 2 2 3" xfId="20781" xr:uid="{00000000-0005-0000-0000-00000F670000}"/>
    <cellStyle name="Normal 45 2 2 4" xfId="21496" xr:uid="{00000000-0005-0000-0000-000010670000}"/>
    <cellStyle name="Normal 45 2 2 5" xfId="22182" xr:uid="{00000000-0005-0000-0000-000011670000}"/>
    <cellStyle name="Normal 45 2 2 6" xfId="22868" xr:uid="{00000000-0005-0000-0000-000012670000}"/>
    <cellStyle name="Normal 45 2 2 7" xfId="21131" xr:uid="{00000000-0005-0000-0000-000013670000}"/>
    <cellStyle name="Normal 45 2 2 8" xfId="24297" xr:uid="{00000000-0005-0000-0000-000014670000}"/>
    <cellStyle name="Normal 45 2 2 9" xfId="24453" xr:uid="{00000000-0005-0000-0000-000015670000}"/>
    <cellStyle name="Normal 45 2 3" xfId="19390" xr:uid="{00000000-0005-0000-0000-000016670000}"/>
    <cellStyle name="Normal 45 3" xfId="18787" xr:uid="{00000000-0005-0000-0000-000017670000}"/>
    <cellStyle name="Normal 45 3 10" xfId="24153" xr:uid="{00000000-0005-0000-0000-000018670000}"/>
    <cellStyle name="Normal 45 3 11" xfId="26181" xr:uid="{00000000-0005-0000-0000-000019670000}"/>
    <cellStyle name="Normal 45 3 12" xfId="25533" xr:uid="{00000000-0005-0000-0000-00001A670000}"/>
    <cellStyle name="Normal 45 3 13" xfId="26864" xr:uid="{00000000-0005-0000-0000-00001B670000}"/>
    <cellStyle name="Normal 45 3 2" xfId="20304" xr:uid="{00000000-0005-0000-0000-00001C670000}"/>
    <cellStyle name="Normal 45 3 3" xfId="19110" xr:uid="{00000000-0005-0000-0000-00001D670000}"/>
    <cellStyle name="Normal 45 3 4" xfId="19173" xr:uid="{00000000-0005-0000-0000-00001E670000}"/>
    <cellStyle name="Normal 45 3 5" xfId="19139" xr:uid="{00000000-0005-0000-0000-00001F670000}"/>
    <cellStyle name="Normal 45 3 6" xfId="21090" xr:uid="{00000000-0005-0000-0000-000020670000}"/>
    <cellStyle name="Normal 45 3 7" xfId="23034" xr:uid="{00000000-0005-0000-0000-000021670000}"/>
    <cellStyle name="Normal 45 3 8" xfId="22783" xr:uid="{00000000-0005-0000-0000-000022670000}"/>
    <cellStyle name="Normal 45 3 9" xfId="24798" xr:uid="{00000000-0005-0000-0000-000023670000}"/>
    <cellStyle name="Normal 45 4" xfId="18985" xr:uid="{00000000-0005-0000-0000-000024670000}"/>
    <cellStyle name="Normal 46" xfId="18418" xr:uid="{00000000-0005-0000-0000-000025670000}"/>
    <cellStyle name="Normal 46 2" xfId="18560" xr:uid="{00000000-0005-0000-0000-000026670000}"/>
    <cellStyle name="Normal 46 2 2" xfId="18790" xr:uid="{00000000-0005-0000-0000-000027670000}"/>
    <cellStyle name="Normal 46 2 2 10" xfId="25295" xr:uid="{00000000-0005-0000-0000-000028670000}"/>
    <cellStyle name="Normal 46 2 2 11" xfId="25461" xr:uid="{00000000-0005-0000-0000-000029670000}"/>
    <cellStyle name="Normal 46 2 2 12" xfId="26411" xr:uid="{00000000-0005-0000-0000-00002A670000}"/>
    <cellStyle name="Normal 46 2 2 13" xfId="25792" xr:uid="{00000000-0005-0000-0000-00002B670000}"/>
    <cellStyle name="Normal 46 2 2 2" xfId="20307" xr:uid="{00000000-0005-0000-0000-00002C670000}"/>
    <cellStyle name="Normal 46 2 2 3" xfId="19729" xr:uid="{00000000-0005-0000-0000-00002D670000}"/>
    <cellStyle name="Normal 46 2 2 4" xfId="19077" xr:uid="{00000000-0005-0000-0000-00002E670000}"/>
    <cellStyle name="Normal 46 2 2 5" xfId="20727" xr:uid="{00000000-0005-0000-0000-00002F670000}"/>
    <cellStyle name="Normal 46 2 2 6" xfId="19923" xr:uid="{00000000-0005-0000-0000-000030670000}"/>
    <cellStyle name="Normal 46 2 2 7" xfId="21881" xr:uid="{00000000-0005-0000-0000-000031670000}"/>
    <cellStyle name="Normal 46 2 2 8" xfId="22253" xr:uid="{00000000-0005-0000-0000-000032670000}"/>
    <cellStyle name="Normal 46 2 2 9" xfId="21872" xr:uid="{00000000-0005-0000-0000-000033670000}"/>
    <cellStyle name="Normal 46 2 3" xfId="19586" xr:uid="{00000000-0005-0000-0000-000034670000}"/>
    <cellStyle name="Normal 46 3" xfId="18789" xr:uid="{00000000-0005-0000-0000-000035670000}"/>
    <cellStyle name="Normal 46 3 10" xfId="25450" xr:uid="{00000000-0005-0000-0000-000036670000}"/>
    <cellStyle name="Normal 46 3 11" xfId="22369" xr:uid="{00000000-0005-0000-0000-000037670000}"/>
    <cellStyle name="Normal 46 3 12" xfId="26526" xr:uid="{00000000-0005-0000-0000-000038670000}"/>
    <cellStyle name="Normal 46 3 13" xfId="25788" xr:uid="{00000000-0005-0000-0000-000039670000}"/>
    <cellStyle name="Normal 46 3 2" xfId="20306" xr:uid="{00000000-0005-0000-0000-00003A670000}"/>
    <cellStyle name="Normal 46 3 3" xfId="20654" xr:uid="{00000000-0005-0000-0000-00003B670000}"/>
    <cellStyle name="Normal 46 3 4" xfId="21050" xr:uid="{00000000-0005-0000-0000-00003C670000}"/>
    <cellStyle name="Normal 46 3 5" xfId="21660" xr:uid="{00000000-0005-0000-0000-00003D670000}"/>
    <cellStyle name="Normal 46 3 6" xfId="22342" xr:uid="{00000000-0005-0000-0000-00003E670000}"/>
    <cellStyle name="Normal 46 3 7" xfId="21569" xr:uid="{00000000-0005-0000-0000-00003F670000}"/>
    <cellStyle name="Normal 46 3 8" xfId="23762" xr:uid="{00000000-0005-0000-0000-000040670000}"/>
    <cellStyle name="Normal 46 3 9" xfId="22100" xr:uid="{00000000-0005-0000-0000-000041670000}"/>
    <cellStyle name="Normal 46 4" xfId="19260" xr:uid="{00000000-0005-0000-0000-000042670000}"/>
    <cellStyle name="Normal 47" xfId="18419" xr:uid="{00000000-0005-0000-0000-000043670000}"/>
    <cellStyle name="Normal 47 2" xfId="18561" xr:uid="{00000000-0005-0000-0000-000044670000}"/>
    <cellStyle name="Normal 47 2 2" xfId="18792" xr:uid="{00000000-0005-0000-0000-000045670000}"/>
    <cellStyle name="Normal 47 2 2 10" xfId="25294" xr:uid="{00000000-0005-0000-0000-000046670000}"/>
    <cellStyle name="Normal 47 2 2 11" xfId="25871" xr:uid="{00000000-0005-0000-0000-000047670000}"/>
    <cellStyle name="Normal 47 2 2 12" xfId="25804" xr:uid="{00000000-0005-0000-0000-000048670000}"/>
    <cellStyle name="Normal 47 2 2 13" xfId="26958" xr:uid="{00000000-0005-0000-0000-000049670000}"/>
    <cellStyle name="Normal 47 2 2 2" xfId="20309" xr:uid="{00000000-0005-0000-0000-00004A670000}"/>
    <cellStyle name="Normal 47 2 2 3" xfId="20782" xr:uid="{00000000-0005-0000-0000-00004B670000}"/>
    <cellStyle name="Normal 47 2 2 4" xfId="19504" xr:uid="{00000000-0005-0000-0000-00004C670000}"/>
    <cellStyle name="Normal 47 2 2 5" xfId="20568" xr:uid="{00000000-0005-0000-0000-00004D670000}"/>
    <cellStyle name="Normal 47 2 2 6" xfId="21245" xr:uid="{00000000-0005-0000-0000-00004E670000}"/>
    <cellStyle name="Normal 47 2 2 7" xfId="23405" xr:uid="{00000000-0005-0000-0000-00004F670000}"/>
    <cellStyle name="Normal 47 2 2 8" xfId="22566" xr:uid="{00000000-0005-0000-0000-000050670000}"/>
    <cellStyle name="Normal 47 2 2 9" xfId="24454" xr:uid="{00000000-0005-0000-0000-000051670000}"/>
    <cellStyle name="Normal 47 2 3" xfId="19587" xr:uid="{00000000-0005-0000-0000-000052670000}"/>
    <cellStyle name="Normal 47 3" xfId="18791" xr:uid="{00000000-0005-0000-0000-000053670000}"/>
    <cellStyle name="Normal 47 3 10" xfId="23088" xr:uid="{00000000-0005-0000-0000-000054670000}"/>
    <cellStyle name="Normal 47 3 11" xfId="26038" xr:uid="{00000000-0005-0000-0000-000055670000}"/>
    <cellStyle name="Normal 47 3 12" xfId="21370" xr:uid="{00000000-0005-0000-0000-000056670000}"/>
    <cellStyle name="Normal 47 3 13" xfId="26865" xr:uid="{00000000-0005-0000-0000-000057670000}"/>
    <cellStyle name="Normal 47 3 2" xfId="20308" xr:uid="{00000000-0005-0000-0000-000058670000}"/>
    <cellStyle name="Normal 47 3 3" xfId="19226" xr:uid="{00000000-0005-0000-0000-000059670000}"/>
    <cellStyle name="Normal 47 3 4" xfId="19154" xr:uid="{00000000-0005-0000-0000-00005A670000}"/>
    <cellStyle name="Normal 47 3 5" xfId="20603" xr:uid="{00000000-0005-0000-0000-00005B670000}"/>
    <cellStyle name="Normal 47 3 6" xfId="20986" xr:uid="{00000000-0005-0000-0000-00005C670000}"/>
    <cellStyle name="Normal 47 3 7" xfId="21526" xr:uid="{00000000-0005-0000-0000-00005D670000}"/>
    <cellStyle name="Normal 47 3 8" xfId="22382" xr:uid="{00000000-0005-0000-0000-00005E670000}"/>
    <cellStyle name="Normal 47 3 9" xfId="24972" xr:uid="{00000000-0005-0000-0000-00005F670000}"/>
    <cellStyle name="Normal 47 4" xfId="19261" xr:uid="{00000000-0005-0000-0000-000060670000}"/>
    <cellStyle name="Normal 48" xfId="18420" xr:uid="{00000000-0005-0000-0000-000061670000}"/>
    <cellStyle name="Normal 48 2" xfId="18421" xr:uid="{00000000-0005-0000-0000-000062670000}"/>
    <cellStyle name="Normal 48 2 2" xfId="18422" xr:uid="{00000000-0005-0000-0000-000063670000}"/>
    <cellStyle name="Normal 48 3" xfId="18423" xr:uid="{00000000-0005-0000-0000-000064670000}"/>
    <cellStyle name="Normal 49" xfId="18424" xr:uid="{00000000-0005-0000-0000-000065670000}"/>
    <cellStyle name="Normal 49 2" xfId="18425" xr:uid="{00000000-0005-0000-0000-000066670000}"/>
    <cellStyle name="Normal 49 2 2" xfId="18426" xr:uid="{00000000-0005-0000-0000-000067670000}"/>
    <cellStyle name="Normal 49 3" xfId="18427" xr:uid="{00000000-0005-0000-0000-000068670000}"/>
    <cellStyle name="Normal 5" xfId="68" xr:uid="{00000000-0005-0000-0000-000069670000}"/>
    <cellStyle name="Normal 5 10" xfId="18130" xr:uid="{00000000-0005-0000-0000-00006A670000}"/>
    <cellStyle name="Normal 5 2" xfId="134" xr:uid="{00000000-0005-0000-0000-00006B670000}"/>
    <cellStyle name="Normal 5 2 2" xfId="1119" xr:uid="{00000000-0005-0000-0000-00006C670000}"/>
    <cellStyle name="Normal 5 2 2 2" xfId="27480" xr:uid="{00000000-0005-0000-0000-00006D670000}"/>
    <cellStyle name="Normal 5 2 2 3" xfId="27339" xr:uid="{00000000-0005-0000-0000-00006E670000}"/>
    <cellStyle name="Normal 5 2 3" xfId="27473" xr:uid="{00000000-0005-0000-0000-00006F670000}"/>
    <cellStyle name="Normal 5 2 4" xfId="27329" xr:uid="{00000000-0005-0000-0000-000070670000}"/>
    <cellStyle name="Normal 5 3" xfId="1121" xr:uid="{00000000-0005-0000-0000-000071670000}"/>
    <cellStyle name="Normal 5 3 2" xfId="18131" xr:uid="{00000000-0005-0000-0000-000072670000}"/>
    <cellStyle name="Normal 5 3 2 2" xfId="27477" xr:uid="{00000000-0005-0000-0000-000073670000}"/>
    <cellStyle name="Normal 5 4" xfId="18132" xr:uid="{00000000-0005-0000-0000-000074670000}"/>
    <cellStyle name="Normal 5 4 2" xfId="27346" xr:uid="{00000000-0005-0000-0000-000075670000}"/>
    <cellStyle name="Normal 5 5" xfId="18133" xr:uid="{00000000-0005-0000-0000-000076670000}"/>
    <cellStyle name="Normal 5 5 2" xfId="27470" xr:uid="{00000000-0005-0000-0000-000077670000}"/>
    <cellStyle name="Normal 5 5 3" xfId="27322" xr:uid="{00000000-0005-0000-0000-000078670000}"/>
    <cellStyle name="Normal 5 6" xfId="18134" xr:uid="{00000000-0005-0000-0000-000079670000}"/>
    <cellStyle name="Normal 5 7" xfId="18135" xr:uid="{00000000-0005-0000-0000-00007A670000}"/>
    <cellStyle name="Normal 5 8" xfId="18136" xr:uid="{00000000-0005-0000-0000-00007B670000}"/>
    <cellStyle name="Normal 5 9" xfId="18137" xr:uid="{00000000-0005-0000-0000-00007C670000}"/>
    <cellStyle name="Normal 50" xfId="18428" xr:uid="{00000000-0005-0000-0000-00007D670000}"/>
    <cellStyle name="Normal 50 2" xfId="18429" xr:uid="{00000000-0005-0000-0000-00007E670000}"/>
    <cellStyle name="Normal 50 2 2" xfId="18430" xr:uid="{00000000-0005-0000-0000-00007F670000}"/>
    <cellStyle name="Normal 50 3" xfId="18431" xr:uid="{00000000-0005-0000-0000-000080670000}"/>
    <cellStyle name="Normal 51" xfId="18432" xr:uid="{00000000-0005-0000-0000-000081670000}"/>
    <cellStyle name="Normal 51 2" xfId="18433" xr:uid="{00000000-0005-0000-0000-000082670000}"/>
    <cellStyle name="Normal 51 2 2" xfId="18434" xr:uid="{00000000-0005-0000-0000-000083670000}"/>
    <cellStyle name="Normal 51 3" xfId="18435" xr:uid="{00000000-0005-0000-0000-000084670000}"/>
    <cellStyle name="Normal 52" xfId="18436" xr:uid="{00000000-0005-0000-0000-000085670000}"/>
    <cellStyle name="Normal 52 2" xfId="18437" xr:uid="{00000000-0005-0000-0000-000086670000}"/>
    <cellStyle name="Normal 52 2 2" xfId="18438" xr:uid="{00000000-0005-0000-0000-000087670000}"/>
    <cellStyle name="Normal 52 3" xfId="18439" xr:uid="{00000000-0005-0000-0000-000088670000}"/>
    <cellStyle name="Normal 52 4" xfId="18440" xr:uid="{00000000-0005-0000-0000-000089670000}"/>
    <cellStyle name="Normal 52 4 2" xfId="18563" xr:uid="{00000000-0005-0000-0000-00008A670000}"/>
    <cellStyle name="Normal 52 4 2 2" xfId="18795" xr:uid="{00000000-0005-0000-0000-00008B670000}"/>
    <cellStyle name="Normal 52 4 2 2 10" xfId="23661" xr:uid="{00000000-0005-0000-0000-00008C670000}"/>
    <cellStyle name="Normal 52 4 2 2 11" xfId="26037" xr:uid="{00000000-0005-0000-0000-00008D670000}"/>
    <cellStyle name="Normal 52 4 2 2 12" xfId="24017" xr:uid="{00000000-0005-0000-0000-00008E670000}"/>
    <cellStyle name="Normal 52 4 2 2 13" xfId="26766" xr:uid="{00000000-0005-0000-0000-00008F670000}"/>
    <cellStyle name="Normal 52 4 2 2 2" xfId="20312" xr:uid="{00000000-0005-0000-0000-000090670000}"/>
    <cellStyle name="Normal 52 4 2 2 3" xfId="19727" xr:uid="{00000000-0005-0000-0000-000091670000}"/>
    <cellStyle name="Normal 52 4 2 2 4" xfId="21203" xr:uid="{00000000-0005-0000-0000-000092670000}"/>
    <cellStyle name="Normal 52 4 2 2 5" xfId="21835" xr:uid="{00000000-0005-0000-0000-000093670000}"/>
    <cellStyle name="Normal 52 4 2 2 6" xfId="22520" xr:uid="{00000000-0005-0000-0000-000094670000}"/>
    <cellStyle name="Normal 52 4 2 2 7" xfId="21529" xr:uid="{00000000-0005-0000-0000-000095670000}"/>
    <cellStyle name="Normal 52 4 2 2 8" xfId="23939" xr:uid="{00000000-0005-0000-0000-000096670000}"/>
    <cellStyle name="Normal 52 4 2 2 9" xfId="24799" xr:uid="{00000000-0005-0000-0000-000097670000}"/>
    <cellStyle name="Normal 52 4 2 3" xfId="19585" xr:uid="{00000000-0005-0000-0000-000098670000}"/>
    <cellStyle name="Normal 52 4 3" xfId="18794" xr:uid="{00000000-0005-0000-0000-000099670000}"/>
    <cellStyle name="Normal 52 4 3 10" xfId="24202" xr:uid="{00000000-0005-0000-0000-00009A670000}"/>
    <cellStyle name="Normal 52 4 3 11" xfId="25753" xr:uid="{00000000-0005-0000-0000-00009B670000}"/>
    <cellStyle name="Normal 52 4 3 12" xfId="26297" xr:uid="{00000000-0005-0000-0000-00009C670000}"/>
    <cellStyle name="Normal 52 4 3 13" xfId="27055" xr:uid="{00000000-0005-0000-0000-00009D670000}"/>
    <cellStyle name="Normal 52 4 3 2" xfId="20311" xr:uid="{00000000-0005-0000-0000-00009E670000}"/>
    <cellStyle name="Normal 52 4 3 3" xfId="19728" xr:uid="{00000000-0005-0000-0000-00009F670000}"/>
    <cellStyle name="Normal 52 4 3 4" xfId="21343" xr:uid="{00000000-0005-0000-0000-0000A0670000}"/>
    <cellStyle name="Normal 52 4 3 5" xfId="22005" xr:uid="{00000000-0005-0000-0000-0000A1670000}"/>
    <cellStyle name="Normal 52 4 3 6" xfId="22694" xr:uid="{00000000-0005-0000-0000-0000A2670000}"/>
    <cellStyle name="Normal 52 4 3 7" xfId="19306" xr:uid="{00000000-0005-0000-0000-0000A3670000}"/>
    <cellStyle name="Normal 52 4 3 8" xfId="24114" xr:uid="{00000000-0005-0000-0000-0000A4670000}"/>
    <cellStyle name="Normal 52 4 3 9" xfId="21150" xr:uid="{00000000-0005-0000-0000-0000A5670000}"/>
    <cellStyle name="Normal 52 4 4" xfId="19259" xr:uid="{00000000-0005-0000-0000-0000A6670000}"/>
    <cellStyle name="Normal 52 5" xfId="18562" xr:uid="{00000000-0005-0000-0000-0000A7670000}"/>
    <cellStyle name="Normal 52 5 2" xfId="18796" xr:uid="{00000000-0005-0000-0000-0000A8670000}"/>
    <cellStyle name="Normal 52 5 2 10" xfId="23990" xr:uid="{00000000-0005-0000-0000-0000A9670000}"/>
    <cellStyle name="Normal 52 5 2 11" xfId="24536" xr:uid="{00000000-0005-0000-0000-0000AA670000}"/>
    <cellStyle name="Normal 52 5 2 12" xfId="24846" xr:uid="{00000000-0005-0000-0000-0000AB670000}"/>
    <cellStyle name="Normal 52 5 2 13" xfId="25347" xr:uid="{00000000-0005-0000-0000-0000AC670000}"/>
    <cellStyle name="Normal 52 5 2 2" xfId="20313" xr:uid="{00000000-0005-0000-0000-0000AD670000}"/>
    <cellStyle name="Normal 52 5 2 3" xfId="20913" xr:uid="{00000000-0005-0000-0000-0000AE670000}"/>
    <cellStyle name="Normal 52 5 2 4" xfId="19954" xr:uid="{00000000-0005-0000-0000-0000AF670000}"/>
    <cellStyle name="Normal 52 5 2 5" xfId="19889" xr:uid="{00000000-0005-0000-0000-0000B0670000}"/>
    <cellStyle name="Normal 52 5 2 6" xfId="20063" xr:uid="{00000000-0005-0000-0000-0000B1670000}"/>
    <cellStyle name="Normal 52 5 2 7" xfId="23406" xr:uid="{00000000-0005-0000-0000-0000B2670000}"/>
    <cellStyle name="Normal 52 5 2 8" xfId="21738" xr:uid="{00000000-0005-0000-0000-0000B3670000}"/>
    <cellStyle name="Normal 52 5 2 9" xfId="24633" xr:uid="{00000000-0005-0000-0000-0000B4670000}"/>
    <cellStyle name="Normal 52 5 3" xfId="18983" xr:uid="{00000000-0005-0000-0000-0000B5670000}"/>
    <cellStyle name="Normal 52 6" xfId="18793" xr:uid="{00000000-0005-0000-0000-0000B6670000}"/>
    <cellStyle name="Normal 52 6 10" xfId="25615" xr:uid="{00000000-0005-0000-0000-0000B7670000}"/>
    <cellStyle name="Normal 52 6 11" xfId="23972" xr:uid="{00000000-0005-0000-0000-0000B8670000}"/>
    <cellStyle name="Normal 52 6 12" xfId="26527" xr:uid="{00000000-0005-0000-0000-0000B9670000}"/>
    <cellStyle name="Normal 52 6 13" xfId="25039" xr:uid="{00000000-0005-0000-0000-0000BA670000}"/>
    <cellStyle name="Normal 52 6 2" xfId="20310" xr:uid="{00000000-0005-0000-0000-0000BB670000}"/>
    <cellStyle name="Normal 52 6 3" xfId="20524" xr:uid="{00000000-0005-0000-0000-0000BC670000}"/>
    <cellStyle name="Normal 52 6 4" xfId="19220" xr:uid="{00000000-0005-0000-0000-0000BD670000}"/>
    <cellStyle name="Normal 52 6 5" xfId="20822" xr:uid="{00000000-0005-0000-0000-0000BE670000}"/>
    <cellStyle name="Normal 52 6 6" xfId="20944" xr:uid="{00000000-0005-0000-0000-0000BF670000}"/>
    <cellStyle name="Normal 52 6 7" xfId="23222" xr:uid="{00000000-0005-0000-0000-0000C0670000}"/>
    <cellStyle name="Normal 52 6 8" xfId="21574" xr:uid="{00000000-0005-0000-0000-0000C1670000}"/>
    <cellStyle name="Normal 52 6 9" xfId="21517" xr:uid="{00000000-0005-0000-0000-0000C2670000}"/>
    <cellStyle name="Normal 52 7" xfId="18984" xr:uid="{00000000-0005-0000-0000-0000C3670000}"/>
    <cellStyle name="Normal 53" xfId="18441" xr:uid="{00000000-0005-0000-0000-0000C4670000}"/>
    <cellStyle name="Normal 53 2" xfId="18564" xr:uid="{00000000-0005-0000-0000-0000C5670000}"/>
    <cellStyle name="Normal 53 2 2" xfId="18798" xr:uid="{00000000-0005-0000-0000-0000C6670000}"/>
    <cellStyle name="Normal 53 2 2 10" xfId="25127" xr:uid="{00000000-0005-0000-0000-0000C7670000}"/>
    <cellStyle name="Normal 53 2 2 11" xfId="25488" xr:uid="{00000000-0005-0000-0000-0000C8670000}"/>
    <cellStyle name="Normal 53 2 2 12" xfId="26298" xr:uid="{00000000-0005-0000-0000-0000C9670000}"/>
    <cellStyle name="Normal 53 2 2 13" xfId="25645" xr:uid="{00000000-0005-0000-0000-0000CA670000}"/>
    <cellStyle name="Normal 53 2 2 2" xfId="20315" xr:uid="{00000000-0005-0000-0000-0000CB670000}"/>
    <cellStyle name="Normal 53 2 2 3" xfId="19726" xr:uid="{00000000-0005-0000-0000-0000CC670000}"/>
    <cellStyle name="Normal 53 2 2 4" xfId="21344" xr:uid="{00000000-0005-0000-0000-0000CD670000}"/>
    <cellStyle name="Normal 53 2 2 5" xfId="22006" xr:uid="{00000000-0005-0000-0000-0000CE670000}"/>
    <cellStyle name="Normal 53 2 2 6" xfId="22695" xr:uid="{00000000-0005-0000-0000-0000CF670000}"/>
    <cellStyle name="Normal 53 2 2 7" xfId="22040" xr:uid="{00000000-0005-0000-0000-0000D0670000}"/>
    <cellStyle name="Normal 53 2 2 8" xfId="24115" xr:uid="{00000000-0005-0000-0000-0000D1670000}"/>
    <cellStyle name="Normal 53 2 2 9" xfId="24632" xr:uid="{00000000-0005-0000-0000-0000D2670000}"/>
    <cellStyle name="Normal 53 2 3" xfId="19257" xr:uid="{00000000-0005-0000-0000-0000D3670000}"/>
    <cellStyle name="Normal 53 3" xfId="18797" xr:uid="{00000000-0005-0000-0000-0000D4670000}"/>
    <cellStyle name="Normal 53 3 10" xfId="25588" xr:uid="{00000000-0005-0000-0000-0000D5670000}"/>
    <cellStyle name="Normal 53 3 11" xfId="24879" xr:uid="{00000000-0005-0000-0000-0000D6670000}"/>
    <cellStyle name="Normal 53 3 12" xfId="26644" xr:uid="{00000000-0005-0000-0000-0000D7670000}"/>
    <cellStyle name="Normal 53 3 13" xfId="24694" xr:uid="{00000000-0005-0000-0000-0000D8670000}"/>
    <cellStyle name="Normal 53 3 2" xfId="20314" xr:uid="{00000000-0005-0000-0000-0000D9670000}"/>
    <cellStyle name="Normal 53 3 3" xfId="20525" xr:uid="{00000000-0005-0000-0000-0000DA670000}"/>
    <cellStyle name="Normal 53 3 4" xfId="19446" xr:uid="{00000000-0005-0000-0000-0000DB670000}"/>
    <cellStyle name="Normal 53 3 5" xfId="19996" xr:uid="{00000000-0005-0000-0000-0000DC670000}"/>
    <cellStyle name="Normal 53 3 6" xfId="20947" xr:uid="{00000000-0005-0000-0000-0000DD670000}"/>
    <cellStyle name="Normal 53 3 7" xfId="23035" xr:uid="{00000000-0005-0000-0000-0000DE670000}"/>
    <cellStyle name="Normal 53 3 8" xfId="22098" xr:uid="{00000000-0005-0000-0000-0000DF670000}"/>
    <cellStyle name="Normal 53 3 9" xfId="20067" xr:uid="{00000000-0005-0000-0000-0000E0670000}"/>
    <cellStyle name="Normal 53 4" xfId="19389" xr:uid="{00000000-0005-0000-0000-0000E1670000}"/>
    <cellStyle name="Normal 54" xfId="18442" xr:uid="{00000000-0005-0000-0000-0000E2670000}"/>
    <cellStyle name="Normal 54 2" xfId="18565" xr:uid="{00000000-0005-0000-0000-0000E3670000}"/>
    <cellStyle name="Normal 54 2 2" xfId="18800" xr:uid="{00000000-0005-0000-0000-0000E4670000}"/>
    <cellStyle name="Normal 54 2 2 10" xfId="25296" xr:uid="{00000000-0005-0000-0000-0000E5670000}"/>
    <cellStyle name="Normal 54 2 2 11" xfId="25754" xr:uid="{00000000-0005-0000-0000-0000E6670000}"/>
    <cellStyle name="Normal 54 2 2 12" xfId="25164" xr:uid="{00000000-0005-0000-0000-0000E7670000}"/>
    <cellStyle name="Normal 54 2 2 13" xfId="26959" xr:uid="{00000000-0005-0000-0000-0000E8670000}"/>
    <cellStyle name="Normal 54 2 2 2" xfId="20317" xr:uid="{00000000-0005-0000-0000-0000E9670000}"/>
    <cellStyle name="Normal 54 2 2 3" xfId="20783" xr:uid="{00000000-0005-0000-0000-0000EA670000}"/>
    <cellStyle name="Normal 54 2 2 4" xfId="19955" xr:uid="{00000000-0005-0000-0000-0000EB670000}"/>
    <cellStyle name="Normal 54 2 2 5" xfId="19537" xr:uid="{00000000-0005-0000-0000-0000EC670000}"/>
    <cellStyle name="Normal 54 2 2 6" xfId="21380" xr:uid="{00000000-0005-0000-0000-0000ED670000}"/>
    <cellStyle name="Normal 54 2 2 7" xfId="23593" xr:uid="{00000000-0005-0000-0000-0000EE670000}"/>
    <cellStyle name="Normal 54 2 2 8" xfId="22254" xr:uid="{00000000-0005-0000-0000-0000EF670000}"/>
    <cellStyle name="Normal 54 2 2 9" xfId="21759" xr:uid="{00000000-0005-0000-0000-0000F0670000}"/>
    <cellStyle name="Normal 54 2 3" xfId="19258" xr:uid="{00000000-0005-0000-0000-0000F1670000}"/>
    <cellStyle name="Normal 54 3" xfId="18799" xr:uid="{00000000-0005-0000-0000-0000F2670000}"/>
    <cellStyle name="Normal 54 3 10" xfId="23801" xr:uid="{00000000-0005-0000-0000-0000F3670000}"/>
    <cellStyle name="Normal 54 3 11" xfId="26040" xr:uid="{00000000-0005-0000-0000-0000F4670000}"/>
    <cellStyle name="Normal 54 3 12" xfId="20825" xr:uid="{00000000-0005-0000-0000-0000F5670000}"/>
    <cellStyle name="Normal 54 3 13" xfId="23419" xr:uid="{00000000-0005-0000-0000-0000F6670000}"/>
    <cellStyle name="Normal 54 3 2" xfId="20316" xr:uid="{00000000-0005-0000-0000-0000F7670000}"/>
    <cellStyle name="Normal 54 3 3" xfId="19725" xr:uid="{00000000-0005-0000-0000-0000F8670000}"/>
    <cellStyle name="Normal 54 3 4" xfId="21051" xr:uid="{00000000-0005-0000-0000-0000F9670000}"/>
    <cellStyle name="Normal 54 3 5" xfId="21661" xr:uid="{00000000-0005-0000-0000-0000FA670000}"/>
    <cellStyle name="Normal 54 3 6" xfId="22343" xr:uid="{00000000-0005-0000-0000-0000FB670000}"/>
    <cellStyle name="Normal 54 3 7" xfId="21440" xr:uid="{00000000-0005-0000-0000-0000FC670000}"/>
    <cellStyle name="Normal 54 3 8" xfId="23763" xr:uid="{00000000-0005-0000-0000-0000FD670000}"/>
    <cellStyle name="Normal 54 3 9" xfId="24971" xr:uid="{00000000-0005-0000-0000-0000FE670000}"/>
    <cellStyle name="Normal 54 4" xfId="19583" xr:uid="{00000000-0005-0000-0000-0000FF670000}"/>
    <cellStyle name="Normal 55" xfId="18443" xr:uid="{00000000-0005-0000-0000-000000680000}"/>
    <cellStyle name="Normal 55 2" xfId="18566" xr:uid="{00000000-0005-0000-0000-000001680000}"/>
    <cellStyle name="Normal 55 2 2" xfId="18802" xr:uid="{00000000-0005-0000-0000-000002680000}"/>
    <cellStyle name="Normal 55 2 2 10" xfId="22423" xr:uid="{00000000-0005-0000-0000-000003680000}"/>
    <cellStyle name="Normal 55 2 2 11" xfId="25755" xr:uid="{00000000-0005-0000-0000-000004680000}"/>
    <cellStyle name="Normal 55 2 2 12" xfId="26416" xr:uid="{00000000-0005-0000-0000-000005680000}"/>
    <cellStyle name="Normal 55 2 2 13" xfId="23245" xr:uid="{00000000-0005-0000-0000-000006680000}"/>
    <cellStyle name="Normal 55 2 2 2" xfId="20319" xr:uid="{00000000-0005-0000-0000-000007680000}"/>
    <cellStyle name="Normal 55 2 2 3" xfId="19724" xr:uid="{00000000-0005-0000-0000-000008680000}"/>
    <cellStyle name="Normal 55 2 2 4" xfId="21498" xr:uid="{00000000-0005-0000-0000-000009680000}"/>
    <cellStyle name="Normal 55 2 2 5" xfId="22184" xr:uid="{00000000-0005-0000-0000-00000A680000}"/>
    <cellStyle name="Normal 55 2 2 6" xfId="22870" xr:uid="{00000000-0005-0000-0000-00000B680000}"/>
    <cellStyle name="Normal 55 2 2 7" xfId="19876" xr:uid="{00000000-0005-0000-0000-00000C680000}"/>
    <cellStyle name="Normal 55 2 2 8" xfId="24299" xr:uid="{00000000-0005-0000-0000-00000D680000}"/>
    <cellStyle name="Normal 55 2 2 9" xfId="22104" xr:uid="{00000000-0005-0000-0000-00000E680000}"/>
    <cellStyle name="Normal 55 2 3" xfId="18982" xr:uid="{00000000-0005-0000-0000-00000F680000}"/>
    <cellStyle name="Normal 55 3" xfId="18801" xr:uid="{00000000-0005-0000-0000-000010680000}"/>
    <cellStyle name="Normal 55 3 10" xfId="25617" xr:uid="{00000000-0005-0000-0000-000011680000}"/>
    <cellStyle name="Normal 55 3 11" xfId="23616" xr:uid="{00000000-0005-0000-0000-000012680000}"/>
    <cellStyle name="Normal 55 3 12" xfId="26528" xr:uid="{00000000-0005-0000-0000-000013680000}"/>
    <cellStyle name="Normal 55 3 13" xfId="26862" xr:uid="{00000000-0005-0000-0000-000014680000}"/>
    <cellStyle name="Normal 55 3 2" xfId="20318" xr:uid="{00000000-0005-0000-0000-000015680000}"/>
    <cellStyle name="Normal 55 3 3" xfId="20659" xr:uid="{00000000-0005-0000-0000-000016680000}"/>
    <cellStyle name="Normal 55 3 4" xfId="19298" xr:uid="{00000000-0005-0000-0000-000017680000}"/>
    <cellStyle name="Normal 55 3 5" xfId="19044" xr:uid="{00000000-0005-0000-0000-000018680000}"/>
    <cellStyle name="Normal 55 3 6" xfId="19550" xr:uid="{00000000-0005-0000-0000-000019680000}"/>
    <cellStyle name="Normal 55 3 7" xfId="23036" xr:uid="{00000000-0005-0000-0000-00001A680000}"/>
    <cellStyle name="Normal 55 3 8" xfId="21293" xr:uid="{00000000-0005-0000-0000-00001B680000}"/>
    <cellStyle name="Normal 55 3 9" xfId="20087" xr:uid="{00000000-0005-0000-0000-00001C680000}"/>
    <cellStyle name="Normal 55 4" xfId="19584" xr:uid="{00000000-0005-0000-0000-00001D680000}"/>
    <cellStyle name="Normal 56" xfId="18444" xr:uid="{00000000-0005-0000-0000-00001E680000}"/>
    <cellStyle name="Normal 56 2" xfId="18567" xr:uid="{00000000-0005-0000-0000-00001F680000}"/>
    <cellStyle name="Normal 56 2 2" xfId="18804" xr:uid="{00000000-0005-0000-0000-000020680000}"/>
    <cellStyle name="Normal 56 2 2 10" xfId="21242" xr:uid="{00000000-0005-0000-0000-000021680000}"/>
    <cellStyle name="Normal 56 2 2 11" xfId="23649" xr:uid="{00000000-0005-0000-0000-000022680000}"/>
    <cellStyle name="Normal 56 2 2 12" xfId="26415" xr:uid="{00000000-0005-0000-0000-000023680000}"/>
    <cellStyle name="Normal 56 2 2 13" xfId="26960" xr:uid="{00000000-0005-0000-0000-000024680000}"/>
    <cellStyle name="Normal 56 2 2 2" xfId="20321" xr:uid="{00000000-0005-0000-0000-000025680000}"/>
    <cellStyle name="Normal 56 2 2 3" xfId="20912" xr:uid="{00000000-0005-0000-0000-000026680000}"/>
    <cellStyle name="Normal 56 2 2 4" xfId="19956" xr:uid="{00000000-0005-0000-0000-000027680000}"/>
    <cellStyle name="Normal 56 2 2 5" xfId="19297" xr:uid="{00000000-0005-0000-0000-000028680000}"/>
    <cellStyle name="Normal 56 2 2 6" xfId="19982" xr:uid="{00000000-0005-0000-0000-000029680000}"/>
    <cellStyle name="Normal 56 2 2 7" xfId="23407" xr:uid="{00000000-0005-0000-0000-00002A680000}"/>
    <cellStyle name="Normal 56 2 2 8" xfId="22730" xr:uid="{00000000-0005-0000-0000-00002B680000}"/>
    <cellStyle name="Normal 56 2 2 9" xfId="24455" xr:uid="{00000000-0005-0000-0000-00002C680000}"/>
    <cellStyle name="Normal 56 2 3" xfId="18981" xr:uid="{00000000-0005-0000-0000-00002D680000}"/>
    <cellStyle name="Normal 56 3" xfId="18803" xr:uid="{00000000-0005-0000-0000-00002E680000}"/>
    <cellStyle name="Normal 56 3 10" xfId="23662" xr:uid="{00000000-0005-0000-0000-00002F680000}"/>
    <cellStyle name="Normal 56 3 11" xfId="26039" xr:uid="{00000000-0005-0000-0000-000030680000}"/>
    <cellStyle name="Normal 56 3 12" xfId="25484" xr:uid="{00000000-0005-0000-0000-000031680000}"/>
    <cellStyle name="Normal 56 3 13" xfId="25789" xr:uid="{00000000-0005-0000-0000-000032680000}"/>
    <cellStyle name="Normal 56 3 2" xfId="20320" xr:uid="{00000000-0005-0000-0000-000033680000}"/>
    <cellStyle name="Normal 56 3 3" xfId="20658" xr:uid="{00000000-0005-0000-0000-000034680000}"/>
    <cellStyle name="Normal 56 3 4" xfId="21052" xr:uid="{00000000-0005-0000-0000-000035680000}"/>
    <cellStyle name="Normal 56 3 5" xfId="21662" xr:uid="{00000000-0005-0000-0000-000036680000}"/>
    <cellStyle name="Normal 56 3 6" xfId="22344" xr:uid="{00000000-0005-0000-0000-000037680000}"/>
    <cellStyle name="Normal 56 3 7" xfId="19171" xr:uid="{00000000-0005-0000-0000-000038680000}"/>
    <cellStyle name="Normal 56 3 8" xfId="23764" xr:uid="{00000000-0005-0000-0000-000039680000}"/>
    <cellStyle name="Normal 56 3 9" xfId="24944" xr:uid="{00000000-0005-0000-0000-00003A680000}"/>
    <cellStyle name="Normal 56 4" xfId="19388" xr:uid="{00000000-0005-0000-0000-00003B680000}"/>
    <cellStyle name="Normal 57" xfId="18445" xr:uid="{00000000-0005-0000-0000-00003C680000}"/>
    <cellStyle name="Normal 57 2" xfId="18568" xr:uid="{00000000-0005-0000-0000-00003D680000}"/>
    <cellStyle name="Normal 57 2 2" xfId="18806" xr:uid="{00000000-0005-0000-0000-00003E680000}"/>
    <cellStyle name="Normal 57 2 2 10" xfId="25265" xr:uid="{00000000-0005-0000-0000-00003F680000}"/>
    <cellStyle name="Normal 57 2 2 11" xfId="19847" xr:uid="{00000000-0005-0000-0000-000040680000}"/>
    <cellStyle name="Normal 57 2 2 12" xfId="23246" xr:uid="{00000000-0005-0000-0000-000041680000}"/>
    <cellStyle name="Normal 57 2 2 13" xfId="26097" xr:uid="{00000000-0005-0000-0000-000042680000}"/>
    <cellStyle name="Normal 57 2 2 2" xfId="20323" xr:uid="{00000000-0005-0000-0000-000043680000}"/>
    <cellStyle name="Normal 57 2 2 3" xfId="19722" xr:uid="{00000000-0005-0000-0000-000044680000}"/>
    <cellStyle name="Normal 57 2 2 4" xfId="21345" xr:uid="{00000000-0005-0000-0000-000045680000}"/>
    <cellStyle name="Normal 57 2 2 5" xfId="22007" xr:uid="{00000000-0005-0000-0000-000046680000}"/>
    <cellStyle name="Normal 57 2 2 6" xfId="22696" xr:uid="{00000000-0005-0000-0000-000047680000}"/>
    <cellStyle name="Normal 57 2 2 7" xfId="20691" xr:uid="{00000000-0005-0000-0000-000048680000}"/>
    <cellStyle name="Normal 57 2 2 8" xfId="24116" xr:uid="{00000000-0005-0000-0000-000049680000}"/>
    <cellStyle name="Normal 57 2 2 9" xfId="24634" xr:uid="{00000000-0005-0000-0000-00004A680000}"/>
    <cellStyle name="Normal 57 2 3" xfId="18980" xr:uid="{00000000-0005-0000-0000-00004B680000}"/>
    <cellStyle name="Normal 57 3" xfId="18805" xr:uid="{00000000-0005-0000-0000-00004C680000}"/>
    <cellStyle name="Normal 57 3 10" xfId="25452" xr:uid="{00000000-0005-0000-0000-00004D680000}"/>
    <cellStyle name="Normal 57 3 11" xfId="23064" xr:uid="{00000000-0005-0000-0000-00004E680000}"/>
    <cellStyle name="Normal 57 3 12" xfId="26643" xr:uid="{00000000-0005-0000-0000-00004F680000}"/>
    <cellStyle name="Normal 57 3 13" xfId="26767" xr:uid="{00000000-0005-0000-0000-000050680000}"/>
    <cellStyle name="Normal 57 3 2" xfId="20322" xr:uid="{00000000-0005-0000-0000-000051680000}"/>
    <cellStyle name="Normal 57 3 3" xfId="19723" xr:uid="{00000000-0005-0000-0000-000052680000}"/>
    <cellStyle name="Normal 57 3 4" xfId="19957" xr:uid="{00000000-0005-0000-0000-000053680000}"/>
    <cellStyle name="Normal 57 3 5" xfId="19675" xr:uid="{00000000-0005-0000-0000-000054680000}"/>
    <cellStyle name="Normal 57 3 6" xfId="19048" xr:uid="{00000000-0005-0000-0000-000055680000}"/>
    <cellStyle name="Normal 57 3 7" xfId="23227" xr:uid="{00000000-0005-0000-0000-000056680000}"/>
    <cellStyle name="Normal 57 3 8" xfId="22101" xr:uid="{00000000-0005-0000-0000-000057680000}"/>
    <cellStyle name="Normal 57 3 9" xfId="22559" xr:uid="{00000000-0005-0000-0000-000058680000}"/>
    <cellStyle name="Normal 57 4" xfId="19387" xr:uid="{00000000-0005-0000-0000-000059680000}"/>
    <cellStyle name="Normal 58" xfId="18446" xr:uid="{00000000-0005-0000-0000-00005A680000}"/>
    <cellStyle name="Normal 58 2" xfId="18569" xr:uid="{00000000-0005-0000-0000-00005B680000}"/>
    <cellStyle name="Normal 58 2 2" xfId="18808" xr:uid="{00000000-0005-0000-0000-00005C680000}"/>
    <cellStyle name="Normal 58 2 2 10" xfId="25128" xr:uid="{00000000-0005-0000-0000-00005D680000}"/>
    <cellStyle name="Normal 58 2 2 11" xfId="25756" xr:uid="{00000000-0005-0000-0000-00005E680000}"/>
    <cellStyle name="Normal 58 2 2 12" xfId="25767" xr:uid="{00000000-0005-0000-0000-00005F680000}"/>
    <cellStyle name="Normal 58 2 2 13" xfId="27057" xr:uid="{00000000-0005-0000-0000-000060680000}"/>
    <cellStyle name="Normal 58 2 2 2" xfId="20325" xr:uid="{00000000-0005-0000-0000-000061680000}"/>
    <cellStyle name="Normal 58 2 2 3" xfId="20892" xr:uid="{00000000-0005-0000-0000-000062680000}"/>
    <cellStyle name="Normal 58 2 2 4" xfId="19953" xr:uid="{00000000-0005-0000-0000-000063680000}"/>
    <cellStyle name="Normal 58 2 2 5" xfId="19115" xr:uid="{00000000-0005-0000-0000-000064680000}"/>
    <cellStyle name="Normal 58 2 2 6" xfId="19199" xr:uid="{00000000-0005-0000-0000-000065680000}"/>
    <cellStyle name="Normal 58 2 2 7" xfId="23592" xr:uid="{00000000-0005-0000-0000-000066680000}"/>
    <cellStyle name="Normal 58 2 2 8" xfId="21438" xr:uid="{00000000-0005-0000-0000-000067680000}"/>
    <cellStyle name="Normal 58 2 2 9" xfId="22206" xr:uid="{00000000-0005-0000-0000-000068680000}"/>
    <cellStyle name="Normal 58 2 3" xfId="19248" xr:uid="{00000000-0005-0000-0000-000069680000}"/>
    <cellStyle name="Normal 58 3" xfId="18807" xr:uid="{00000000-0005-0000-0000-00006A680000}"/>
    <cellStyle name="Normal 58 3 10" xfId="23242" xr:uid="{00000000-0005-0000-0000-00006B680000}"/>
    <cellStyle name="Normal 58 3 11" xfId="26183" xr:uid="{00000000-0005-0000-0000-00006C680000}"/>
    <cellStyle name="Normal 58 3 12" xfId="24670" xr:uid="{00000000-0005-0000-0000-00006D680000}"/>
    <cellStyle name="Normal 58 3 13" xfId="25667" xr:uid="{00000000-0005-0000-0000-00006E680000}"/>
    <cellStyle name="Normal 58 3 2" xfId="20324" xr:uid="{00000000-0005-0000-0000-00006F680000}"/>
    <cellStyle name="Normal 58 3 3" xfId="19225" xr:uid="{00000000-0005-0000-0000-000070680000}"/>
    <cellStyle name="Normal 58 3 4" xfId="21208" xr:uid="{00000000-0005-0000-0000-000071680000}"/>
    <cellStyle name="Normal 58 3 5" xfId="21840" xr:uid="{00000000-0005-0000-0000-000072680000}"/>
    <cellStyle name="Normal 58 3 6" xfId="22525" xr:uid="{00000000-0005-0000-0000-000073680000}"/>
    <cellStyle name="Normal 58 3 7" xfId="23226" xr:uid="{00000000-0005-0000-0000-000074680000}"/>
    <cellStyle name="Normal 58 3 8" xfId="23944" xr:uid="{00000000-0005-0000-0000-000075680000}"/>
    <cellStyle name="Normal 58 3 9" xfId="24973" xr:uid="{00000000-0005-0000-0000-000076680000}"/>
    <cellStyle name="Normal 58 4" xfId="19386" xr:uid="{00000000-0005-0000-0000-000077680000}"/>
    <cellStyle name="Normal 59" xfId="18447" xr:uid="{00000000-0005-0000-0000-000078680000}"/>
    <cellStyle name="Normal 59 2" xfId="18570" xr:uid="{00000000-0005-0000-0000-000079680000}"/>
    <cellStyle name="Normal 59 2 2" xfId="18810" xr:uid="{00000000-0005-0000-0000-00007A680000}"/>
    <cellStyle name="Normal 59 2 2 10" xfId="24151" xr:uid="{00000000-0005-0000-0000-00007B680000}"/>
    <cellStyle name="Normal 59 2 2 11" xfId="25904" xr:uid="{00000000-0005-0000-0000-00007C680000}"/>
    <cellStyle name="Normal 59 2 2 12" xfId="26299" xr:uid="{00000000-0005-0000-0000-00007D680000}"/>
    <cellStyle name="Normal 59 2 2 13" xfId="25666" xr:uid="{00000000-0005-0000-0000-00007E680000}"/>
    <cellStyle name="Normal 59 2 2 2" xfId="20327" xr:uid="{00000000-0005-0000-0000-00007F680000}"/>
    <cellStyle name="Normal 59 2 2 3" xfId="19721" xr:uid="{00000000-0005-0000-0000-000080680000}"/>
    <cellStyle name="Normal 59 2 2 4" xfId="21497" xr:uid="{00000000-0005-0000-0000-000081680000}"/>
    <cellStyle name="Normal 59 2 2 5" xfId="22183" xr:uid="{00000000-0005-0000-0000-000082680000}"/>
    <cellStyle name="Normal 59 2 2 6" xfId="22869" xr:uid="{00000000-0005-0000-0000-000083680000}"/>
    <cellStyle name="Normal 59 2 2 7" xfId="20023" xr:uid="{00000000-0005-0000-0000-000084680000}"/>
    <cellStyle name="Normal 59 2 2 8" xfId="24298" xr:uid="{00000000-0005-0000-0000-000085680000}"/>
    <cellStyle name="Normal 59 2 2 9" xfId="23085" xr:uid="{00000000-0005-0000-0000-000086680000}"/>
    <cellStyle name="Normal 59 2 3" xfId="19256" xr:uid="{00000000-0005-0000-0000-000087680000}"/>
    <cellStyle name="Normal 59 3" xfId="18809" xr:uid="{00000000-0005-0000-0000-000088680000}"/>
    <cellStyle name="Normal 59 3 10" xfId="25451" xr:uid="{00000000-0005-0000-0000-000089680000}"/>
    <cellStyle name="Normal 59 3 11" xfId="24005" xr:uid="{00000000-0005-0000-0000-00008A680000}"/>
    <cellStyle name="Normal 59 3 12" xfId="26616" xr:uid="{00000000-0005-0000-0000-00008B680000}"/>
    <cellStyle name="Normal 59 3 13" xfId="26768" xr:uid="{00000000-0005-0000-0000-00008C680000}"/>
    <cellStyle name="Normal 59 3 2" xfId="20326" xr:uid="{00000000-0005-0000-0000-00008D680000}"/>
    <cellStyle name="Normal 59 3 3" xfId="20526" xr:uid="{00000000-0005-0000-0000-00008E680000}"/>
    <cellStyle name="Normal 59 3 4" xfId="21207" xr:uid="{00000000-0005-0000-0000-00008F680000}"/>
    <cellStyle name="Normal 59 3 5" xfId="21839" xr:uid="{00000000-0005-0000-0000-000090680000}"/>
    <cellStyle name="Normal 59 3 6" xfId="22524" xr:uid="{00000000-0005-0000-0000-000091680000}"/>
    <cellStyle name="Normal 59 3 7" xfId="20432" xr:uid="{00000000-0005-0000-0000-000092680000}"/>
    <cellStyle name="Normal 59 3 8" xfId="23943" xr:uid="{00000000-0005-0000-0000-000093680000}"/>
    <cellStyle name="Normal 59 3 9" xfId="21134" xr:uid="{00000000-0005-0000-0000-000094680000}"/>
    <cellStyle name="Normal 59 4" xfId="19573" xr:uid="{00000000-0005-0000-0000-000095680000}"/>
    <cellStyle name="Normal 6" xfId="97" xr:uid="{00000000-0005-0000-0000-000096680000}"/>
    <cellStyle name="Normal 6 2" xfId="1184" xr:uid="{00000000-0005-0000-0000-000097680000}"/>
    <cellStyle name="Normal 6 2 2" xfId="1319" xr:uid="{00000000-0005-0000-0000-000098680000}"/>
    <cellStyle name="Normal 6 2 2 2" xfId="27340" xr:uid="{00000000-0005-0000-0000-000099680000}"/>
    <cellStyle name="Normal 6 2 2 2 2" xfId="27481" xr:uid="{00000000-0005-0000-0000-00009A680000}"/>
    <cellStyle name="Normal 6 2 2 3" xfId="27462" xr:uid="{00000000-0005-0000-0000-00009B680000}"/>
    <cellStyle name="Normal 6 2 2 4" xfId="27313" xr:uid="{00000000-0005-0000-0000-00009C680000}"/>
    <cellStyle name="Normal 6 2 2 4 2" xfId="29393" xr:uid="{00000000-0005-0000-0000-00009D680000}"/>
    <cellStyle name="Normal 6 2 3" xfId="18138" xr:uid="{00000000-0005-0000-0000-00009E680000}"/>
    <cellStyle name="Normal 6 2 3 2" xfId="27474" xr:uid="{00000000-0005-0000-0000-00009F680000}"/>
    <cellStyle name="Normal 6 2 3 2 2" xfId="29413" xr:uid="{00000000-0005-0000-0000-0000A0680000}"/>
    <cellStyle name="Normal 6 2 3 3" xfId="27330" xr:uid="{00000000-0005-0000-0000-0000A1680000}"/>
    <cellStyle name="Normal 6 2 4" xfId="27455" xr:uid="{00000000-0005-0000-0000-0000A2680000}"/>
    <cellStyle name="Normal 6 2 5" xfId="27512" xr:uid="{00000000-0005-0000-0000-0000A3680000}"/>
    <cellStyle name="Normal 6 3" xfId="18139" xr:uid="{00000000-0005-0000-0000-0000A4680000}"/>
    <cellStyle name="Normal 6 3 2" xfId="27337" xr:uid="{00000000-0005-0000-0000-0000A5680000}"/>
    <cellStyle name="Normal 6 3 2 2" xfId="27478" xr:uid="{00000000-0005-0000-0000-0000A6680000}"/>
    <cellStyle name="Normal 6 3 3" xfId="27448" xr:uid="{00000000-0005-0000-0000-0000A7680000}"/>
    <cellStyle name="Normal 6 3 4" xfId="27308" xr:uid="{00000000-0005-0000-0000-0000A8680000}"/>
    <cellStyle name="Normal 6 3 4 2" xfId="29392" xr:uid="{00000000-0005-0000-0000-0000A9680000}"/>
    <cellStyle name="Normal 6 4" xfId="18140" xr:uid="{00000000-0005-0000-0000-0000AA680000}"/>
    <cellStyle name="Normal 6 4 2" xfId="27471" xr:uid="{00000000-0005-0000-0000-0000AB680000}"/>
    <cellStyle name="Normal 6 4 2 2" xfId="29412" xr:uid="{00000000-0005-0000-0000-0000AC680000}"/>
    <cellStyle name="Normal 6 4 3" xfId="27323" xr:uid="{00000000-0005-0000-0000-0000AD680000}"/>
    <cellStyle name="Normal 6 5" xfId="18141" xr:uid="{00000000-0005-0000-0000-0000AE680000}"/>
    <cellStyle name="Normal 6 5 2" xfId="27441" xr:uid="{00000000-0005-0000-0000-0000AF680000}"/>
    <cellStyle name="Normal 6 5 2 2" xfId="29408" xr:uid="{00000000-0005-0000-0000-0000B0680000}"/>
    <cellStyle name="Normal 6 6" xfId="18142" xr:uid="{00000000-0005-0000-0000-0000B1680000}"/>
    <cellStyle name="Normal 6 6 2" xfId="27544" xr:uid="{00000000-0005-0000-0000-0000B2680000}"/>
    <cellStyle name="Normal 6 6 3" xfId="27556" xr:uid="{00000000-0005-0000-0000-0000B3680000}"/>
    <cellStyle name="Normal 6 7" xfId="18143" xr:uid="{00000000-0005-0000-0000-0000B4680000}"/>
    <cellStyle name="Normal 6 8" xfId="18060" xr:uid="{00000000-0005-0000-0000-0000B5680000}"/>
    <cellStyle name="Normal 60" xfId="18448" xr:uid="{00000000-0005-0000-0000-0000B6680000}"/>
    <cellStyle name="Normal 60 2" xfId="18571" xr:uid="{00000000-0005-0000-0000-0000B7680000}"/>
    <cellStyle name="Normal 60 2 2" xfId="18812" xr:uid="{00000000-0005-0000-0000-0000B8680000}"/>
    <cellStyle name="Normal 60 2 2 10" xfId="23632" xr:uid="{00000000-0005-0000-0000-0000B9680000}"/>
    <cellStyle name="Normal 60 2 2 11" xfId="23135" xr:uid="{00000000-0005-0000-0000-0000BA680000}"/>
    <cellStyle name="Normal 60 2 2 12" xfId="26417" xr:uid="{00000000-0005-0000-0000-0000BB680000}"/>
    <cellStyle name="Normal 60 2 2 13" xfId="26961" xr:uid="{00000000-0005-0000-0000-0000BC680000}"/>
    <cellStyle name="Normal 60 2 2 2" xfId="20329" xr:uid="{00000000-0005-0000-0000-0000BD680000}"/>
    <cellStyle name="Normal 60 2 2 3" xfId="20914" xr:uid="{00000000-0005-0000-0000-0000BE680000}"/>
    <cellStyle name="Normal 60 2 2 4" xfId="19153" xr:uid="{00000000-0005-0000-0000-0000BF680000}"/>
    <cellStyle name="Normal 60 2 2 5" xfId="19421" xr:uid="{00000000-0005-0000-0000-0000C0680000}"/>
    <cellStyle name="Normal 60 2 2 6" xfId="19440" xr:uid="{00000000-0005-0000-0000-0000C1680000}"/>
    <cellStyle name="Normal 60 2 2 7" xfId="23566" xr:uid="{00000000-0005-0000-0000-0000C2680000}"/>
    <cellStyle name="Normal 60 2 2 8" xfId="20935" xr:uid="{00000000-0005-0000-0000-0000C3680000}"/>
    <cellStyle name="Normal 60 2 2 9" xfId="24603" xr:uid="{00000000-0005-0000-0000-0000C4680000}"/>
    <cellStyle name="Normal 60 2 3" xfId="19385" xr:uid="{00000000-0005-0000-0000-0000C5680000}"/>
    <cellStyle name="Normal 60 3" xfId="18811" xr:uid="{00000000-0005-0000-0000-0000C6680000}"/>
    <cellStyle name="Normal 60 3 10" xfId="23315" xr:uid="{00000000-0005-0000-0000-0000C7680000}"/>
    <cellStyle name="Normal 60 3 11" xfId="26184" xr:uid="{00000000-0005-0000-0000-0000C8680000}"/>
    <cellStyle name="Normal 60 3 12" xfId="25162" xr:uid="{00000000-0005-0000-0000-0000C9680000}"/>
    <cellStyle name="Normal 60 3 13" xfId="25926" xr:uid="{00000000-0005-0000-0000-0000CA680000}"/>
    <cellStyle name="Normal 60 3 2" xfId="20328" xr:uid="{00000000-0005-0000-0000-0000CB680000}"/>
    <cellStyle name="Normal 60 3 3" xfId="20660" xr:uid="{00000000-0005-0000-0000-0000CC680000}"/>
    <cellStyle name="Normal 60 3 4" xfId="19494" xr:uid="{00000000-0005-0000-0000-0000CD680000}"/>
    <cellStyle name="Normal 60 3 5" xfId="19109" xr:uid="{00000000-0005-0000-0000-0000CE680000}"/>
    <cellStyle name="Normal 60 3 6" xfId="19049" xr:uid="{00000000-0005-0000-0000-0000CF680000}"/>
    <cellStyle name="Normal 60 3 7" xfId="20066" xr:uid="{00000000-0005-0000-0000-0000D0680000}"/>
    <cellStyle name="Normal 60 3 8" xfId="21236" xr:uid="{00000000-0005-0000-0000-0000D1680000}"/>
    <cellStyle name="Normal 60 3 9" xfId="24801" xr:uid="{00000000-0005-0000-0000-0000D2680000}"/>
    <cellStyle name="Normal 60 4" xfId="18979" xr:uid="{00000000-0005-0000-0000-0000D3680000}"/>
    <cellStyle name="Normal 61" xfId="18449" xr:uid="{00000000-0005-0000-0000-0000D4680000}"/>
    <cellStyle name="Normal 61 2" xfId="18572" xr:uid="{00000000-0005-0000-0000-0000D5680000}"/>
    <cellStyle name="Normal 61 2 2" xfId="18814" xr:uid="{00000000-0005-0000-0000-0000D6680000}"/>
    <cellStyle name="Normal 61 2 2 10" xfId="25129" xr:uid="{00000000-0005-0000-0000-0000D7680000}"/>
    <cellStyle name="Normal 61 2 2 11" xfId="25138" xr:uid="{00000000-0005-0000-0000-0000D8680000}"/>
    <cellStyle name="Normal 61 2 2 12" xfId="25482" xr:uid="{00000000-0005-0000-0000-0000D9680000}"/>
    <cellStyle name="Normal 61 2 2 13" xfId="25787" xr:uid="{00000000-0005-0000-0000-0000DA680000}"/>
    <cellStyle name="Normal 61 2 2 2" xfId="20331" xr:uid="{00000000-0005-0000-0000-0000DB680000}"/>
    <cellStyle name="Normal 61 2 2 3" xfId="19719" xr:uid="{00000000-0005-0000-0000-0000DC680000}"/>
    <cellStyle name="Normal 61 2 2 4" xfId="21477" xr:uid="{00000000-0005-0000-0000-0000DD680000}"/>
    <cellStyle name="Normal 61 2 2 5" xfId="22160" xr:uid="{00000000-0005-0000-0000-0000DE680000}"/>
    <cellStyle name="Normal 61 2 2 6" xfId="22846" xr:uid="{00000000-0005-0000-0000-0000DF680000}"/>
    <cellStyle name="Normal 61 2 2 7" xfId="19861" xr:uid="{00000000-0005-0000-0000-0000E0680000}"/>
    <cellStyle name="Normal 61 2 2 8" xfId="24271" xr:uid="{00000000-0005-0000-0000-0000E1680000}"/>
    <cellStyle name="Normal 61 2 2 9" xfId="24456" xr:uid="{00000000-0005-0000-0000-0000E2680000}"/>
    <cellStyle name="Normal 61 2 3" xfId="19384" xr:uid="{00000000-0005-0000-0000-0000E3680000}"/>
    <cellStyle name="Normal 61 3" xfId="18813" xr:uid="{00000000-0005-0000-0000-0000E4680000}"/>
    <cellStyle name="Normal 61 3 10" xfId="25454" xr:uid="{00000000-0005-0000-0000-0000E5680000}"/>
    <cellStyle name="Normal 61 3 11" xfId="23615" xr:uid="{00000000-0005-0000-0000-0000E6680000}"/>
    <cellStyle name="Normal 61 3 12" xfId="26645" xr:uid="{00000000-0005-0000-0000-0000E7680000}"/>
    <cellStyle name="Normal 61 3 13" xfId="26867" xr:uid="{00000000-0005-0000-0000-0000E8680000}"/>
    <cellStyle name="Normal 61 3 2" xfId="20330" xr:uid="{00000000-0005-0000-0000-0000E9680000}"/>
    <cellStyle name="Normal 61 3 3" xfId="19720" xr:uid="{00000000-0005-0000-0000-0000EA680000}"/>
    <cellStyle name="Normal 61 3 4" xfId="19333" xr:uid="{00000000-0005-0000-0000-0000EB680000}"/>
    <cellStyle name="Normal 61 3 5" xfId="20005" xr:uid="{00000000-0005-0000-0000-0000EC680000}"/>
    <cellStyle name="Normal 61 3 6" xfId="20733" xr:uid="{00000000-0005-0000-0000-0000ED680000}"/>
    <cellStyle name="Normal 61 3 7" xfId="23037" xr:uid="{00000000-0005-0000-0000-0000EE680000}"/>
    <cellStyle name="Normal 61 3 8" xfId="22567" xr:uid="{00000000-0005-0000-0000-0000EF680000}"/>
    <cellStyle name="Normal 61 3 9" xfId="20002" xr:uid="{00000000-0005-0000-0000-0000F0680000}"/>
    <cellStyle name="Normal 61 4" xfId="18978" xr:uid="{00000000-0005-0000-0000-0000F1680000}"/>
    <cellStyle name="Normal 62" xfId="18450" xr:uid="{00000000-0005-0000-0000-0000F2680000}"/>
    <cellStyle name="Normal 62 2" xfId="18451" xr:uid="{00000000-0005-0000-0000-0000F3680000}"/>
    <cellStyle name="Normal 63" xfId="18452" xr:uid="{00000000-0005-0000-0000-0000F4680000}"/>
    <cellStyle name="Normal 63 2" xfId="18573" xr:uid="{00000000-0005-0000-0000-0000F5680000}"/>
    <cellStyle name="Normal 63 2 2" xfId="18816" xr:uid="{00000000-0005-0000-0000-0000F6680000}"/>
    <cellStyle name="Normal 63 2 2 10" xfId="25130" xr:uid="{00000000-0005-0000-0000-0000F7680000}"/>
    <cellStyle name="Normal 63 2 2 11" xfId="25906" xr:uid="{00000000-0005-0000-0000-0000F8680000}"/>
    <cellStyle name="Normal 63 2 2 12" xfId="25044" xr:uid="{00000000-0005-0000-0000-0000F9680000}"/>
    <cellStyle name="Normal 63 2 2 13" xfId="27056" xr:uid="{00000000-0005-0000-0000-0000FA680000}"/>
    <cellStyle name="Normal 63 2 2 2" xfId="20333" xr:uid="{00000000-0005-0000-0000-0000FB680000}"/>
    <cellStyle name="Normal 63 2 2 3" xfId="20785" xr:uid="{00000000-0005-0000-0000-0000FC680000}"/>
    <cellStyle name="Normal 63 2 2 4" xfId="19493" xr:uid="{00000000-0005-0000-0000-0000FD680000}"/>
    <cellStyle name="Normal 63 2 2 5" xfId="19025" xr:uid="{00000000-0005-0000-0000-0000FE680000}"/>
    <cellStyle name="Normal 63 2 2 6" xfId="19299" xr:uid="{00000000-0005-0000-0000-0000FF680000}"/>
    <cellStyle name="Normal 63 2 2 7" xfId="23594" xr:uid="{00000000-0005-0000-0000-000000690000}"/>
    <cellStyle name="Normal 63 2 2 8" xfId="19859" xr:uid="{00000000-0005-0000-0000-000001690000}"/>
    <cellStyle name="Normal 63 2 2 9" xfId="24175" xr:uid="{00000000-0005-0000-0000-000002690000}"/>
    <cellStyle name="Normal 63 2 3" xfId="19582" xr:uid="{00000000-0005-0000-0000-000003690000}"/>
    <cellStyle name="Normal 63 3" xfId="18815" xr:uid="{00000000-0005-0000-0000-000004690000}"/>
    <cellStyle name="Normal 63 3 10" xfId="22059" xr:uid="{00000000-0005-0000-0000-000005690000}"/>
    <cellStyle name="Normal 63 3 11" xfId="25336" xr:uid="{00000000-0005-0000-0000-000006690000}"/>
    <cellStyle name="Normal 63 3 12" xfId="24366" xr:uid="{00000000-0005-0000-0000-000007690000}"/>
    <cellStyle name="Normal 63 3 13" xfId="26866" xr:uid="{00000000-0005-0000-0000-000008690000}"/>
    <cellStyle name="Normal 63 3 2" xfId="20332" xr:uid="{00000000-0005-0000-0000-000009690000}"/>
    <cellStyle name="Normal 63 3 3" xfId="19108" xr:uid="{00000000-0005-0000-0000-00000A690000}"/>
    <cellStyle name="Normal 63 3 4" xfId="21053" xr:uid="{00000000-0005-0000-0000-00000B690000}"/>
    <cellStyle name="Normal 63 3 5" xfId="21663" xr:uid="{00000000-0005-0000-0000-00000C690000}"/>
    <cellStyle name="Normal 63 3 6" xfId="22345" xr:uid="{00000000-0005-0000-0000-00000D690000}"/>
    <cellStyle name="Normal 63 3 7" xfId="23228" xr:uid="{00000000-0005-0000-0000-00000E690000}"/>
    <cellStyle name="Normal 63 3 8" xfId="23765" xr:uid="{00000000-0005-0000-0000-00000F690000}"/>
    <cellStyle name="Normal 63 3 9" xfId="24800" xr:uid="{00000000-0005-0000-0000-000010690000}"/>
    <cellStyle name="Normal 63 4" xfId="19255" xr:uid="{00000000-0005-0000-0000-000011690000}"/>
    <cellStyle name="Normal 64" xfId="18453" xr:uid="{00000000-0005-0000-0000-000012690000}"/>
    <cellStyle name="Normal 64 2" xfId="18574" xr:uid="{00000000-0005-0000-0000-000013690000}"/>
    <cellStyle name="Normal 64 2 2" xfId="18818" xr:uid="{00000000-0005-0000-0000-000014690000}"/>
    <cellStyle name="Normal 64 2 2 10" xfId="22557" xr:uid="{00000000-0005-0000-0000-000015690000}"/>
    <cellStyle name="Normal 64 2 2 11" xfId="23973" xr:uid="{00000000-0005-0000-0000-000016690000}"/>
    <cellStyle name="Normal 64 2 2 12" xfId="26386" xr:uid="{00000000-0005-0000-0000-000017690000}"/>
    <cellStyle name="Normal 64 2 2 13" xfId="21447" xr:uid="{00000000-0005-0000-0000-000018690000}"/>
    <cellStyle name="Normal 64 2 2 2" xfId="20335" xr:uid="{00000000-0005-0000-0000-000019690000}"/>
    <cellStyle name="Normal 64 2 2 3" xfId="19718" xr:uid="{00000000-0005-0000-0000-00001A690000}"/>
    <cellStyle name="Normal 64 2 2 4" xfId="21499" xr:uid="{00000000-0005-0000-0000-00001B690000}"/>
    <cellStyle name="Normal 64 2 2 5" xfId="22185" xr:uid="{00000000-0005-0000-0000-00001C690000}"/>
    <cellStyle name="Normal 64 2 2 6" xfId="22871" xr:uid="{00000000-0005-0000-0000-00001D690000}"/>
    <cellStyle name="Normal 64 2 2 7" xfId="21916" xr:uid="{00000000-0005-0000-0000-00001E690000}"/>
    <cellStyle name="Normal 64 2 2 8" xfId="24300" xr:uid="{00000000-0005-0000-0000-00001F690000}"/>
    <cellStyle name="Normal 64 2 2 9" xfId="23463" xr:uid="{00000000-0005-0000-0000-000020690000}"/>
    <cellStyle name="Normal 64 2 3" xfId="19383" xr:uid="{00000000-0005-0000-0000-000021690000}"/>
    <cellStyle name="Normal 64 3" xfId="18817" xr:uid="{00000000-0005-0000-0000-000022690000}"/>
    <cellStyle name="Normal 64 3 10" xfId="25453" xr:uid="{00000000-0005-0000-0000-000023690000}"/>
    <cellStyle name="Normal 64 3 11" xfId="26041" xr:uid="{00000000-0005-0000-0000-000024690000}"/>
    <cellStyle name="Normal 64 3 12" xfId="26530" xr:uid="{00000000-0005-0000-0000-000025690000}"/>
    <cellStyle name="Normal 64 3 13" xfId="19832" xr:uid="{00000000-0005-0000-0000-000026690000}"/>
    <cellStyle name="Normal 64 3 2" xfId="20334" xr:uid="{00000000-0005-0000-0000-000027690000}"/>
    <cellStyle name="Normal 64 3 3" xfId="20636" xr:uid="{00000000-0005-0000-0000-000028690000}"/>
    <cellStyle name="Normal 64 3 4" xfId="21209" xr:uid="{00000000-0005-0000-0000-000029690000}"/>
    <cellStyle name="Normal 64 3 5" xfId="21841" xr:uid="{00000000-0005-0000-0000-00002A690000}"/>
    <cellStyle name="Normal 64 3 6" xfId="22526" xr:uid="{00000000-0005-0000-0000-00002B690000}"/>
    <cellStyle name="Normal 64 3 7" xfId="20869" xr:uid="{00000000-0005-0000-0000-00002C690000}"/>
    <cellStyle name="Normal 64 3 8" xfId="23945" xr:uid="{00000000-0005-0000-0000-00002D690000}"/>
    <cellStyle name="Normal 64 3 9" xfId="23821" xr:uid="{00000000-0005-0000-0000-00002E690000}"/>
    <cellStyle name="Normal 64 4" xfId="18977" xr:uid="{00000000-0005-0000-0000-00002F690000}"/>
    <cellStyle name="Normal 65" xfId="18454" xr:uid="{00000000-0005-0000-0000-000030690000}"/>
    <cellStyle name="Normal 65 2" xfId="18575" xr:uid="{00000000-0005-0000-0000-000031690000}"/>
    <cellStyle name="Normal 65 2 2" xfId="18820" xr:uid="{00000000-0005-0000-0000-000032690000}"/>
    <cellStyle name="Normal 65 2 2 10" xfId="20865" xr:uid="{00000000-0005-0000-0000-000033690000}"/>
    <cellStyle name="Normal 65 2 2 11" xfId="25757" xr:uid="{00000000-0005-0000-0000-000034690000}"/>
    <cellStyle name="Normal 65 2 2 12" xfId="26300" xr:uid="{00000000-0005-0000-0000-000035690000}"/>
    <cellStyle name="Normal 65 2 2 13" xfId="27029" xr:uid="{00000000-0005-0000-0000-000036690000}"/>
    <cellStyle name="Normal 65 2 2 2" xfId="20337" xr:uid="{00000000-0005-0000-0000-000037690000}"/>
    <cellStyle name="Normal 65 2 2 3" xfId="20784" xr:uid="{00000000-0005-0000-0000-000038690000}"/>
    <cellStyle name="Normal 65 2 2 4" xfId="19684" xr:uid="{00000000-0005-0000-0000-000039690000}"/>
    <cellStyle name="Normal 65 2 2 5" xfId="19887" xr:uid="{00000000-0005-0000-0000-00003A690000}"/>
    <cellStyle name="Normal 65 2 2 6" xfId="21280" xr:uid="{00000000-0005-0000-0000-00003B690000}"/>
    <cellStyle name="Normal 65 2 2 7" xfId="23409" xr:uid="{00000000-0005-0000-0000-00003C690000}"/>
    <cellStyle name="Normal 65 2 2 8" xfId="21149" xr:uid="{00000000-0005-0000-0000-00003D690000}"/>
    <cellStyle name="Normal 65 2 2 9" xfId="24457" xr:uid="{00000000-0005-0000-0000-00003E690000}"/>
    <cellStyle name="Normal 65 2 3" xfId="19580" xr:uid="{00000000-0005-0000-0000-00003F690000}"/>
    <cellStyle name="Normal 65 3" xfId="18819" xr:uid="{00000000-0005-0000-0000-000040690000}"/>
    <cellStyle name="Normal 65 3 10" xfId="21924" xr:uid="{00000000-0005-0000-0000-000041690000}"/>
    <cellStyle name="Normal 65 3 11" xfId="26185" xr:uid="{00000000-0005-0000-0000-000042690000}"/>
    <cellStyle name="Normal 65 3 12" xfId="24674" xr:uid="{00000000-0005-0000-0000-000043690000}"/>
    <cellStyle name="Normal 65 3 13" xfId="22898" xr:uid="{00000000-0005-0000-0000-000044690000}"/>
    <cellStyle name="Normal 65 3 2" xfId="20336" xr:uid="{00000000-0005-0000-0000-000045690000}"/>
    <cellStyle name="Normal 65 3 3" xfId="20527" xr:uid="{00000000-0005-0000-0000-000046690000}"/>
    <cellStyle name="Normal 65 3 4" xfId="19361" xr:uid="{00000000-0005-0000-0000-000047690000}"/>
    <cellStyle name="Normal 65 3 5" xfId="19145" xr:uid="{00000000-0005-0000-0000-000048690000}"/>
    <cellStyle name="Normal 65 3 6" xfId="19621" xr:uid="{00000000-0005-0000-0000-000049690000}"/>
    <cellStyle name="Normal 65 3 7" xfId="19073" xr:uid="{00000000-0005-0000-0000-00004A690000}"/>
    <cellStyle name="Normal 65 3 8" xfId="19860" xr:uid="{00000000-0005-0000-0000-00004B690000}"/>
    <cellStyle name="Normal 65 3 9" xfId="24803" xr:uid="{00000000-0005-0000-0000-00004C690000}"/>
    <cellStyle name="Normal 65 4" xfId="19254" xr:uid="{00000000-0005-0000-0000-00004D690000}"/>
    <cellStyle name="Normal 66" xfId="18455" xr:uid="{00000000-0005-0000-0000-00004E690000}"/>
    <cellStyle name="Normal 66 2" xfId="18904" xr:uid="{00000000-0005-0000-0000-00004F690000}"/>
    <cellStyle name="Normal 67" xfId="18456" xr:uid="{00000000-0005-0000-0000-000050690000}"/>
    <cellStyle name="Normal 67 2" xfId="18576" xr:uid="{00000000-0005-0000-0000-000051690000}"/>
    <cellStyle name="Normal 67 2 2" xfId="18822" xr:uid="{00000000-0005-0000-0000-000052690000}"/>
    <cellStyle name="Normal 67 2 2 10" xfId="25131" xr:uid="{00000000-0005-0000-0000-000053690000}"/>
    <cellStyle name="Normal 67 2 2 11" xfId="24316" xr:uid="{00000000-0005-0000-0000-000054690000}"/>
    <cellStyle name="Normal 67 2 2 12" xfId="24660" xr:uid="{00000000-0005-0000-0000-000055690000}"/>
    <cellStyle name="Normal 67 2 2 13" xfId="25927" xr:uid="{00000000-0005-0000-0000-000056690000}"/>
    <cellStyle name="Normal 67 2 2 2" xfId="20339" xr:uid="{00000000-0005-0000-0000-000057690000}"/>
    <cellStyle name="Normal 67 2 2 3" xfId="19716" xr:uid="{00000000-0005-0000-0000-000058690000}"/>
    <cellStyle name="Normal 67 2 2 4" xfId="21347" xr:uid="{00000000-0005-0000-0000-000059690000}"/>
    <cellStyle name="Normal 67 2 2 5" xfId="22009" xr:uid="{00000000-0005-0000-0000-00005A690000}"/>
    <cellStyle name="Normal 67 2 2 6" xfId="22698" xr:uid="{00000000-0005-0000-0000-00005B690000}"/>
    <cellStyle name="Normal 67 2 2 7" xfId="19910" xr:uid="{00000000-0005-0000-0000-00005C690000}"/>
    <cellStyle name="Normal 67 2 2 8" xfId="24118" xr:uid="{00000000-0005-0000-0000-00005D690000}"/>
    <cellStyle name="Normal 67 2 2 9" xfId="24458" xr:uid="{00000000-0005-0000-0000-00005E690000}"/>
    <cellStyle name="Normal 67 2 3" xfId="18976" xr:uid="{00000000-0005-0000-0000-00005F690000}"/>
    <cellStyle name="Normal 67 3" xfId="18821" xr:uid="{00000000-0005-0000-0000-000060690000}"/>
    <cellStyle name="Normal 67 3 10" xfId="25619" xr:uid="{00000000-0005-0000-0000-000061690000}"/>
    <cellStyle name="Normal 67 3 11" xfId="24835" xr:uid="{00000000-0005-0000-0000-000062690000}"/>
    <cellStyle name="Normal 67 3 12" xfId="26529" xr:uid="{00000000-0005-0000-0000-000063690000}"/>
    <cellStyle name="Normal 67 3 13" xfId="26769" xr:uid="{00000000-0005-0000-0000-000064690000}"/>
    <cellStyle name="Normal 67 3 2" xfId="20338" xr:uid="{00000000-0005-0000-0000-000065690000}"/>
    <cellStyle name="Normal 67 3 3" xfId="19717" xr:uid="{00000000-0005-0000-0000-000066690000}"/>
    <cellStyle name="Normal 67 3 4" xfId="19106" xr:uid="{00000000-0005-0000-0000-000067690000}"/>
    <cellStyle name="Normal 67 3 5" xfId="20821" xr:uid="{00000000-0005-0000-0000-000068690000}"/>
    <cellStyle name="Normal 67 3 6" xfId="20482" xr:uid="{00000000-0005-0000-0000-000069690000}"/>
    <cellStyle name="Normal 67 3 7" xfId="23198" xr:uid="{00000000-0005-0000-0000-00006A690000}"/>
    <cellStyle name="Normal 67 3 8" xfId="22211" xr:uid="{00000000-0005-0000-0000-00006B690000}"/>
    <cellStyle name="Normal 67 3 9" xfId="23308" xr:uid="{00000000-0005-0000-0000-00006C690000}"/>
    <cellStyle name="Normal 67 4" xfId="19581" xr:uid="{00000000-0005-0000-0000-00006D690000}"/>
    <cellStyle name="Normal 68" xfId="18457" xr:uid="{00000000-0005-0000-0000-00006E690000}"/>
    <cellStyle name="Normal 68 2" xfId="18577" xr:uid="{00000000-0005-0000-0000-00006F690000}"/>
    <cellStyle name="Normal 68 2 2" xfId="18824" xr:uid="{00000000-0005-0000-0000-000070690000}"/>
    <cellStyle name="Normal 68 2 2 10" xfId="25298" xr:uid="{00000000-0005-0000-0000-000071690000}"/>
    <cellStyle name="Normal 68 2 2 11" xfId="25905" xr:uid="{00000000-0005-0000-0000-000072690000}"/>
    <cellStyle name="Normal 68 2 2 12" xfId="19858" xr:uid="{00000000-0005-0000-0000-000073690000}"/>
    <cellStyle name="Normal 68 2 2 13" xfId="27058" xr:uid="{00000000-0005-0000-0000-000074690000}"/>
    <cellStyle name="Normal 68 2 2 2" xfId="20341" xr:uid="{00000000-0005-0000-0000-000075690000}"/>
    <cellStyle name="Normal 68 2 2 3" xfId="20787" xr:uid="{00000000-0005-0000-0000-000076690000}"/>
    <cellStyle name="Normal 68 2 2 4" xfId="19364" xr:uid="{00000000-0005-0000-0000-000077690000}"/>
    <cellStyle name="Normal 68 2 2 5" xfId="20602" xr:uid="{00000000-0005-0000-0000-000078690000}"/>
    <cellStyle name="Normal 68 2 2 6" xfId="20847" xr:uid="{00000000-0005-0000-0000-000079690000}"/>
    <cellStyle name="Normal 68 2 2 7" xfId="23408" xr:uid="{00000000-0005-0000-0000-00007A690000}"/>
    <cellStyle name="Normal 68 2 2 8" xfId="19557" xr:uid="{00000000-0005-0000-0000-00007B690000}"/>
    <cellStyle name="Normal 68 2 2 9" xfId="23822" xr:uid="{00000000-0005-0000-0000-00007C690000}"/>
    <cellStyle name="Normal 68 2 3" xfId="18975" xr:uid="{00000000-0005-0000-0000-00007D690000}"/>
    <cellStyle name="Normal 68 3" xfId="18823" xr:uid="{00000000-0005-0000-0000-00007E690000}"/>
    <cellStyle name="Normal 68 3 10" xfId="22558" xr:uid="{00000000-0005-0000-0000-00007F690000}"/>
    <cellStyle name="Normal 68 3 11" xfId="26042" xr:uid="{00000000-0005-0000-0000-000080690000}"/>
    <cellStyle name="Normal 68 3 12" xfId="24318" xr:uid="{00000000-0005-0000-0000-000081690000}"/>
    <cellStyle name="Normal 68 3 13" xfId="26868" xr:uid="{00000000-0005-0000-0000-000082690000}"/>
    <cellStyle name="Normal 68 3 2" xfId="20340" xr:uid="{00000000-0005-0000-0000-000083690000}"/>
    <cellStyle name="Normal 68 3 3" xfId="19074" xr:uid="{00000000-0005-0000-0000-000084690000}"/>
    <cellStyle name="Normal 68 3 4" xfId="21186" xr:uid="{00000000-0005-0000-0000-000085690000}"/>
    <cellStyle name="Normal 68 3 5" xfId="21815" xr:uid="{00000000-0005-0000-0000-000086690000}"/>
    <cellStyle name="Normal 68 3 6" xfId="22500" xr:uid="{00000000-0005-0000-0000-000087690000}"/>
    <cellStyle name="Normal 68 3 7" xfId="23038" xr:uid="{00000000-0005-0000-0000-000088690000}"/>
    <cellStyle name="Normal 68 3 8" xfId="23914" xr:uid="{00000000-0005-0000-0000-000089690000}"/>
    <cellStyle name="Normal 68 3 9" xfId="24802" xr:uid="{00000000-0005-0000-0000-00008A690000}"/>
    <cellStyle name="Normal 68 4" xfId="19382" xr:uid="{00000000-0005-0000-0000-00008B690000}"/>
    <cellStyle name="Normal 68 5" xfId="19122" xr:uid="{00000000-0005-0000-0000-00008C690000}"/>
    <cellStyle name="Normal 68 6" xfId="20049" xr:uid="{00000000-0005-0000-0000-00008D690000}"/>
    <cellStyle name="Normal 69" xfId="18612" xr:uid="{00000000-0005-0000-0000-00008E690000}"/>
    <cellStyle name="Normal 69 2" xfId="27146" xr:uid="{00000000-0005-0000-0000-00008F690000}"/>
    <cellStyle name="Normal 69 3" xfId="27207" xr:uid="{00000000-0005-0000-0000-000090690000}"/>
    <cellStyle name="Normal 69 4" xfId="27097" xr:uid="{00000000-0005-0000-0000-000091690000}"/>
    <cellStyle name="Normal 69 5" xfId="26681" xr:uid="{00000000-0005-0000-0000-000092690000}"/>
    <cellStyle name="Normal 69 6" xfId="27188" xr:uid="{00000000-0005-0000-0000-000093690000}"/>
    <cellStyle name="Normal 69 7" xfId="27131" xr:uid="{00000000-0005-0000-0000-000094690000}"/>
    <cellStyle name="Normal 7" xfId="84" xr:uid="{00000000-0005-0000-0000-000095690000}"/>
    <cellStyle name="Normal 7 10" xfId="28437" xr:uid="{00000000-0005-0000-0000-000096690000}"/>
    <cellStyle name="Normal 7 11" xfId="29359" xr:uid="{00000000-0005-0000-0000-000097690000}"/>
    <cellStyle name="Normal 7 2" xfId="187" xr:uid="{00000000-0005-0000-0000-000098690000}"/>
    <cellStyle name="Normal 7 2 2" xfId="394" xr:uid="{00000000-0005-0000-0000-000099690000}"/>
    <cellStyle name="Normal 7 2 2 2" xfId="887" xr:uid="{00000000-0005-0000-0000-00009A690000}"/>
    <cellStyle name="Normal 7 2 2 2 2" xfId="28440" xr:uid="{00000000-0005-0000-0000-00009B690000}"/>
    <cellStyle name="Normal 7 2 2 2 3" xfId="29362" xr:uid="{00000000-0005-0000-0000-00009C690000}"/>
    <cellStyle name="Normal 7 2 2 3" xfId="28439" xr:uid="{00000000-0005-0000-0000-00009D690000}"/>
    <cellStyle name="Normal 7 2 2 4" xfId="29361" xr:uid="{00000000-0005-0000-0000-00009E690000}"/>
    <cellStyle name="Normal 7 2 3" xfId="746" xr:uid="{00000000-0005-0000-0000-00009F690000}"/>
    <cellStyle name="Normal 7 2 3 2" xfId="28441" xr:uid="{00000000-0005-0000-0000-0000A0690000}"/>
    <cellStyle name="Normal 7 2 3 3" xfId="29363" xr:uid="{00000000-0005-0000-0000-0000A1690000}"/>
    <cellStyle name="Normal 7 2 4" xfId="1112" xr:uid="{00000000-0005-0000-0000-0000A2690000}"/>
    <cellStyle name="Normal 7 2 4 2" xfId="27507" xr:uid="{00000000-0005-0000-0000-0000A3690000}"/>
    <cellStyle name="Normal 7 2 4 3" xfId="27526" xr:uid="{00000000-0005-0000-0000-0000A4690000}"/>
    <cellStyle name="Normal 7 2 5" xfId="18145" xr:uid="{00000000-0005-0000-0000-0000A5690000}"/>
    <cellStyle name="Normal 7 2 6" xfId="28438" xr:uid="{00000000-0005-0000-0000-0000A6690000}"/>
    <cellStyle name="Normal 7 2 7" xfId="29360" xr:uid="{00000000-0005-0000-0000-0000A7690000}"/>
    <cellStyle name="Normal 7 3" xfId="301" xr:uid="{00000000-0005-0000-0000-0000A8690000}"/>
    <cellStyle name="Normal 7 3 2" xfId="794" xr:uid="{00000000-0005-0000-0000-0000A9690000}"/>
    <cellStyle name="Normal 7 3 2 2" xfId="28442" xr:uid="{00000000-0005-0000-0000-0000AA690000}"/>
    <cellStyle name="Normal 7 3 2 3" xfId="29365" xr:uid="{00000000-0005-0000-0000-0000AB690000}"/>
    <cellStyle name="Normal 7 3 3" xfId="18146" xr:uid="{00000000-0005-0000-0000-0000AC690000}"/>
    <cellStyle name="Normal 7 3 4" xfId="27325" xr:uid="{00000000-0005-0000-0000-0000AD690000}"/>
    <cellStyle name="Normal 7 3 4 2" xfId="29397" xr:uid="{00000000-0005-0000-0000-0000AE690000}"/>
    <cellStyle name="Normal 7 3 5" xfId="29364" xr:uid="{00000000-0005-0000-0000-0000AF690000}"/>
    <cellStyle name="Normal 7 4" xfId="745" xr:uid="{00000000-0005-0000-0000-0000B0690000}"/>
    <cellStyle name="Normal 7 4 2" xfId="18147" xr:uid="{00000000-0005-0000-0000-0000B1690000}"/>
    <cellStyle name="Normal 7 4 3" xfId="28443" xr:uid="{00000000-0005-0000-0000-0000B2690000}"/>
    <cellStyle name="Normal 7 4 4" xfId="29366" xr:uid="{00000000-0005-0000-0000-0000B3690000}"/>
    <cellStyle name="Normal 7 5" xfId="999" xr:uid="{00000000-0005-0000-0000-0000B4690000}"/>
    <cellStyle name="Normal 7 5 2" xfId="18148" xr:uid="{00000000-0005-0000-0000-0000B5690000}"/>
    <cellStyle name="Normal 7 5 3" xfId="28444" xr:uid="{00000000-0005-0000-0000-0000B6690000}"/>
    <cellStyle name="Normal 7 5 4" xfId="29367" xr:uid="{00000000-0005-0000-0000-0000B7690000}"/>
    <cellStyle name="Normal 7 6" xfId="18149" xr:uid="{00000000-0005-0000-0000-0000B8690000}"/>
    <cellStyle name="Normal 7 6 2" xfId="27545" xr:uid="{00000000-0005-0000-0000-0000B9690000}"/>
    <cellStyle name="Normal 7 6 3" xfId="27539" xr:uid="{00000000-0005-0000-0000-0000BA690000}"/>
    <cellStyle name="Normal 7 7" xfId="18150" xr:uid="{00000000-0005-0000-0000-0000BB690000}"/>
    <cellStyle name="Normal 7 8" xfId="18167" xr:uid="{00000000-0005-0000-0000-0000BC690000}"/>
    <cellStyle name="Normal 7 8 10" xfId="18974" xr:uid="{00000000-0005-0000-0000-0000BD690000}"/>
    <cellStyle name="Normal 7 8 2" xfId="18189" xr:uid="{00000000-0005-0000-0000-0000BE690000}"/>
    <cellStyle name="Normal 7 8 2 2" xfId="18204" xr:uid="{00000000-0005-0000-0000-0000BF690000}"/>
    <cellStyle name="Normal 7 8 2 2 2" xfId="18276" xr:uid="{00000000-0005-0000-0000-0000C0690000}"/>
    <cellStyle name="Normal 7 8 2 2 2 2" xfId="18461" xr:uid="{00000000-0005-0000-0000-0000C1690000}"/>
    <cellStyle name="Normal 7 8 2 2 2 2 2" xfId="18582" xr:uid="{00000000-0005-0000-0000-0000C2690000}"/>
    <cellStyle name="Normal 7 8 2 2 2 2 2 2" xfId="18830" xr:uid="{00000000-0005-0000-0000-0000C3690000}"/>
    <cellStyle name="Normal 7 8 2 2 2 2 2 2 10" xfId="25300" xr:uid="{00000000-0005-0000-0000-0000C4690000}"/>
    <cellStyle name="Normal 7 8 2 2 2 2 2 2 11" xfId="24510" xr:uid="{00000000-0005-0000-0000-0000C5690000}"/>
    <cellStyle name="Normal 7 8 2 2 2 2 2 2 12" xfId="24497" xr:uid="{00000000-0005-0000-0000-0000C6690000}"/>
    <cellStyle name="Normal 7 8 2 2 2 2 2 2 13" xfId="24139" xr:uid="{00000000-0005-0000-0000-0000C7690000}"/>
    <cellStyle name="Normal 7 8 2 2 2 2 2 2 2" xfId="20347" xr:uid="{00000000-0005-0000-0000-0000C8690000}"/>
    <cellStyle name="Normal 7 8 2 2 2 2 2 2 3" xfId="19713" xr:uid="{00000000-0005-0000-0000-0000C9690000}"/>
    <cellStyle name="Normal 7 8 2 2 2 2 2 2 4" xfId="21349" xr:uid="{00000000-0005-0000-0000-0000CA690000}"/>
    <cellStyle name="Normal 7 8 2 2 2 2 2 2 5" xfId="22011" xr:uid="{00000000-0005-0000-0000-0000CB690000}"/>
    <cellStyle name="Normal 7 8 2 2 2 2 2 2 6" xfId="22700" xr:uid="{00000000-0005-0000-0000-0000CC690000}"/>
    <cellStyle name="Normal 7 8 2 2 2 2 2 2 7" xfId="20469" xr:uid="{00000000-0005-0000-0000-0000CD690000}"/>
    <cellStyle name="Normal 7 8 2 2 2 2 2 2 8" xfId="24120" xr:uid="{00000000-0005-0000-0000-0000CE690000}"/>
    <cellStyle name="Normal 7 8 2 2 2 2 2 2 9" xfId="24636" xr:uid="{00000000-0005-0000-0000-0000CF690000}"/>
    <cellStyle name="Normal 7 8 2 2 2 2 2 3" xfId="19579" xr:uid="{00000000-0005-0000-0000-0000D0690000}"/>
    <cellStyle name="Normal 7 8 2 2 2 2 3" xfId="18829" xr:uid="{00000000-0005-0000-0000-0000D1690000}"/>
    <cellStyle name="Normal 7 8 2 2 2 2 3 10" xfId="22030" xr:uid="{00000000-0005-0000-0000-0000D2690000}"/>
    <cellStyle name="Normal 7 8 2 2 2 2 3 11" xfId="23812" xr:uid="{00000000-0005-0000-0000-0000D3690000}"/>
    <cellStyle name="Normal 7 8 2 2 2 2 3 12" xfId="26531" xr:uid="{00000000-0005-0000-0000-0000D4690000}"/>
    <cellStyle name="Normal 7 8 2 2 2 2 3 13" xfId="26837" xr:uid="{00000000-0005-0000-0000-0000D5690000}"/>
    <cellStyle name="Normal 7 8 2 2 2 2 3 2" xfId="20346" xr:uid="{00000000-0005-0000-0000-0000D6690000}"/>
    <cellStyle name="Normal 7 8 2 2 2 2 3 3" xfId="19714" xr:uid="{00000000-0005-0000-0000-0000D7690000}"/>
    <cellStyle name="Normal 7 8 2 2 2 2 3 4" xfId="19452" xr:uid="{00000000-0005-0000-0000-0000D8690000}"/>
    <cellStyle name="Normal 7 8 2 2 2 2 3 5" xfId="19971" xr:uid="{00000000-0005-0000-0000-0000D9690000}"/>
    <cellStyle name="Normal 7 8 2 2 2 2 3 6" xfId="21403" xr:uid="{00000000-0005-0000-0000-0000DA690000}"/>
    <cellStyle name="Normal 7 8 2 2 2 2 3 7" xfId="23039" xr:uid="{00000000-0005-0000-0000-0000DB690000}"/>
    <cellStyle name="Normal 7 8 2 2 2 2 3 8" xfId="19842" xr:uid="{00000000-0005-0000-0000-0000DC690000}"/>
    <cellStyle name="Normal 7 8 2 2 2 2 3 9" xfId="20416" xr:uid="{00000000-0005-0000-0000-0000DD690000}"/>
    <cellStyle name="Normal 7 8 2 2 2 2 4" xfId="19253" xr:uid="{00000000-0005-0000-0000-0000DE690000}"/>
    <cellStyle name="Normal 7 8 2 2 2 3" xfId="18581" xr:uid="{00000000-0005-0000-0000-0000DF690000}"/>
    <cellStyle name="Normal 7 8 2 2 2 3 2" xfId="18831" xr:uid="{00000000-0005-0000-0000-0000E0690000}"/>
    <cellStyle name="Normal 7 8 2 2 2 3 2 10" xfId="25455" xr:uid="{00000000-0005-0000-0000-0000E1690000}"/>
    <cellStyle name="Normal 7 8 2 2 2 3 2 11" xfId="26044" xr:uid="{00000000-0005-0000-0000-0000E2690000}"/>
    <cellStyle name="Normal 7 8 2 2 2 3 2 12" xfId="22279" xr:uid="{00000000-0005-0000-0000-0000E3690000}"/>
    <cellStyle name="Normal 7 8 2 2 2 3 2 13" xfId="26770" xr:uid="{00000000-0005-0000-0000-0000E4690000}"/>
    <cellStyle name="Normal 7 8 2 2 2 3 2 2" xfId="20348" xr:uid="{00000000-0005-0000-0000-0000E5690000}"/>
    <cellStyle name="Normal 7 8 2 2 2 3 2 3" xfId="19057" xr:uid="{00000000-0005-0000-0000-0000E6690000}"/>
    <cellStyle name="Normal 7 8 2 2 2 3 2 4" xfId="21055" xr:uid="{00000000-0005-0000-0000-0000E7690000}"/>
    <cellStyle name="Normal 7 8 2 2 2 3 2 5" xfId="21665" xr:uid="{00000000-0005-0000-0000-0000E8690000}"/>
    <cellStyle name="Normal 7 8 2 2 2 3 2 6" xfId="22347" xr:uid="{00000000-0005-0000-0000-0000E9690000}"/>
    <cellStyle name="Normal 7 8 2 2 2 3 2 7" xfId="23040" xr:uid="{00000000-0005-0000-0000-0000EA690000}"/>
    <cellStyle name="Normal 7 8 2 2 2 3 2 8" xfId="23767" xr:uid="{00000000-0005-0000-0000-0000EB690000}"/>
    <cellStyle name="Normal 7 8 2 2 2 3 2 9" xfId="24976" xr:uid="{00000000-0005-0000-0000-0000EC690000}"/>
    <cellStyle name="Normal 7 8 2 2 2 3 3" xfId="18973" xr:uid="{00000000-0005-0000-0000-0000ED690000}"/>
    <cellStyle name="Normal 7 8 2 2 2 4" xfId="18828" xr:uid="{00000000-0005-0000-0000-0000EE690000}"/>
    <cellStyle name="Normal 7 8 2 2 2 4 10" xfId="22749" xr:uid="{00000000-0005-0000-0000-0000EF690000}"/>
    <cellStyle name="Normal 7 8 2 2 2 4 11" xfId="22936" xr:uid="{00000000-0005-0000-0000-0000F0690000}"/>
    <cellStyle name="Normal 7 8 2 2 2 4 12" xfId="26302" xr:uid="{00000000-0005-0000-0000-0000F1690000}"/>
    <cellStyle name="Normal 7 8 2 2 2 4 13" xfId="26963" xr:uid="{00000000-0005-0000-0000-0000F2690000}"/>
    <cellStyle name="Normal 7 8 2 2 2 4 2" xfId="20345" xr:uid="{00000000-0005-0000-0000-0000F3690000}"/>
    <cellStyle name="Normal 7 8 2 2 2 4 3" xfId="20786" xr:uid="{00000000-0005-0000-0000-0000F4690000}"/>
    <cellStyle name="Normal 7 8 2 2 2 4 4" xfId="19152" xr:uid="{00000000-0005-0000-0000-0000F5690000}"/>
    <cellStyle name="Normal 7 8 2 2 2 4 5" xfId="21116" xr:uid="{00000000-0005-0000-0000-0000F6690000}"/>
    <cellStyle name="Normal 7 8 2 2 2 4 6" xfId="21724" xr:uid="{00000000-0005-0000-0000-0000F7690000}"/>
    <cellStyle name="Normal 7 8 2 2 2 4 7" xfId="23411" xr:uid="{00000000-0005-0000-0000-0000F8690000}"/>
    <cellStyle name="Normal 7 8 2 2 2 4 8" xfId="20852" xr:uid="{00000000-0005-0000-0000-0000F9690000}"/>
    <cellStyle name="Normal 7 8 2 2 2 4 9" xfId="24459" xr:uid="{00000000-0005-0000-0000-0000FA690000}"/>
    <cellStyle name="Normal 7 8 2 2 2 5" xfId="19578" xr:uid="{00000000-0005-0000-0000-0000FB690000}"/>
    <cellStyle name="Normal 7 8 2 2 3" xfId="18277" xr:uid="{00000000-0005-0000-0000-0000FC690000}"/>
    <cellStyle name="Normal 7 8 2 2 3 2" xfId="18462" xr:uid="{00000000-0005-0000-0000-0000FD690000}"/>
    <cellStyle name="Normal 7 8 2 2 3 2 2" xfId="18584" xr:uid="{00000000-0005-0000-0000-0000FE690000}"/>
    <cellStyle name="Normal 7 8 2 2 3 2 2 2" xfId="18834" xr:uid="{00000000-0005-0000-0000-0000FF690000}"/>
    <cellStyle name="Normal 7 8 2 2 3 2 2 2 10" xfId="25132" xr:uid="{00000000-0005-0000-0000-0000006A0000}"/>
    <cellStyle name="Normal 7 8 2 2 3 2 2 2 11" xfId="25759" xr:uid="{00000000-0005-0000-0000-0000016A0000}"/>
    <cellStyle name="Normal 7 8 2 2 3 2 2 2 12" xfId="26303" xr:uid="{00000000-0005-0000-0000-0000026A0000}"/>
    <cellStyle name="Normal 7 8 2 2 3 2 2 2 13" xfId="25518" xr:uid="{00000000-0005-0000-0000-0000036A0000}"/>
    <cellStyle name="Normal 7 8 2 2 3 2 2 2 2" xfId="20351" xr:uid="{00000000-0005-0000-0000-0000046A0000}"/>
    <cellStyle name="Normal 7 8 2 2 3 2 2 2 3" xfId="19712" xr:uid="{00000000-0005-0000-0000-0000056A0000}"/>
    <cellStyle name="Normal 7 8 2 2 3 2 2 2 4" xfId="21348" xr:uid="{00000000-0005-0000-0000-0000066A0000}"/>
    <cellStyle name="Normal 7 8 2 2 3 2 2 2 5" xfId="22010" xr:uid="{00000000-0005-0000-0000-0000076A0000}"/>
    <cellStyle name="Normal 7 8 2 2 3 2 2 2 6" xfId="22699" xr:uid="{00000000-0005-0000-0000-0000086A0000}"/>
    <cellStyle name="Normal 7 8 2 2 3 2 2 2 7" xfId="22580" xr:uid="{00000000-0005-0000-0000-0000096A0000}"/>
    <cellStyle name="Normal 7 8 2 2 3 2 2 2 8" xfId="24119" xr:uid="{00000000-0005-0000-0000-00000A6A0000}"/>
    <cellStyle name="Normal 7 8 2 2 3 2 2 2 9" xfId="22734" xr:uid="{00000000-0005-0000-0000-00000B6A0000}"/>
    <cellStyle name="Normal 7 8 2 2 3 2 2 3" xfId="19379" xr:uid="{00000000-0005-0000-0000-00000C6A0000}"/>
    <cellStyle name="Normal 7 8 2 2 3 2 3" xfId="18833" xr:uid="{00000000-0005-0000-0000-00000D6A0000}"/>
    <cellStyle name="Normal 7 8 2 2 3 2 3 10" xfId="25621" xr:uid="{00000000-0005-0000-0000-00000E6A0000}"/>
    <cellStyle name="Normal 7 8 2 2 3 2 3 11" xfId="23814" xr:uid="{00000000-0005-0000-0000-00000F6A0000}"/>
    <cellStyle name="Normal 7 8 2 2 3 2 3 12" xfId="26647" xr:uid="{00000000-0005-0000-0000-0000106A0000}"/>
    <cellStyle name="Normal 7 8 2 2 3 2 3 13" xfId="25038" xr:uid="{00000000-0005-0000-0000-0000116A0000}"/>
    <cellStyle name="Normal 7 8 2 2 3 2 3 2" xfId="20350" xr:uid="{00000000-0005-0000-0000-0000126A0000}"/>
    <cellStyle name="Normal 7 8 2 2 3 2 3 3" xfId="20530" xr:uid="{00000000-0005-0000-0000-0000136A0000}"/>
    <cellStyle name="Normal 7 8 2 2 3 2 3 4" xfId="21056" xr:uid="{00000000-0005-0000-0000-0000146A0000}"/>
    <cellStyle name="Normal 7 8 2 2 3 2 3 5" xfId="21666" xr:uid="{00000000-0005-0000-0000-0000156A0000}"/>
    <cellStyle name="Normal 7 8 2 2 3 2 3 6" xfId="22348" xr:uid="{00000000-0005-0000-0000-0000166A0000}"/>
    <cellStyle name="Normal 7 8 2 2 3 2 3 7" xfId="22406" xr:uid="{00000000-0005-0000-0000-0000176A0000}"/>
    <cellStyle name="Normal 7 8 2 2 3 2 3 8" xfId="23768" xr:uid="{00000000-0005-0000-0000-0000186A0000}"/>
    <cellStyle name="Normal 7 8 2 2 3 2 3 9" xfId="22590" xr:uid="{00000000-0005-0000-0000-0000196A0000}"/>
    <cellStyle name="Normal 7 8 2 2 3 2 4" xfId="18972" xr:uid="{00000000-0005-0000-0000-00001A6A0000}"/>
    <cellStyle name="Normal 7 8 2 2 3 3" xfId="18583" xr:uid="{00000000-0005-0000-0000-00001B6A0000}"/>
    <cellStyle name="Normal 7 8 2 2 3 3 2" xfId="18835" xr:uid="{00000000-0005-0000-0000-00001C6A0000}"/>
    <cellStyle name="Normal 7 8 2 2 3 3 2 10" xfId="24015" xr:uid="{00000000-0005-0000-0000-00001D6A0000}"/>
    <cellStyle name="Normal 7 8 2 2 3 3 2 11" xfId="26043" xr:uid="{00000000-0005-0000-0000-00001E6A0000}"/>
    <cellStyle name="Normal 7 8 2 2 3 3 2 12" xfId="23776" xr:uid="{00000000-0005-0000-0000-00001F6A0000}"/>
    <cellStyle name="Normal 7 8 2 2 3 3 2 13" xfId="25646" xr:uid="{00000000-0005-0000-0000-0000206A0000}"/>
    <cellStyle name="Normal 7 8 2 2 3 3 2 2" xfId="20352" xr:uid="{00000000-0005-0000-0000-0000216A0000}"/>
    <cellStyle name="Normal 7 8 2 2 3 3 2 3" xfId="20662" xr:uid="{00000000-0005-0000-0000-0000226A0000}"/>
    <cellStyle name="Normal 7 8 2 2 3 3 2 4" xfId="19958" xr:uid="{00000000-0005-0000-0000-0000236A0000}"/>
    <cellStyle name="Normal 7 8 2 2 3 3 2 5" xfId="21117" xr:uid="{00000000-0005-0000-0000-0000246A0000}"/>
    <cellStyle name="Normal 7 8 2 2 3 3 2 6" xfId="21725" xr:uid="{00000000-0005-0000-0000-0000256A0000}"/>
    <cellStyle name="Normal 7 8 2 2 3 3 2 7" xfId="19857" xr:uid="{00000000-0005-0000-0000-0000266A0000}"/>
    <cellStyle name="Normal 7 8 2 2 3 3 2 8" xfId="23098" xr:uid="{00000000-0005-0000-0000-0000276A0000}"/>
    <cellStyle name="Normal 7 8 2 2 3 3 2 9" xfId="20741" xr:uid="{00000000-0005-0000-0000-0000286A0000}"/>
    <cellStyle name="Normal 7 8 2 2 3 3 3" xfId="18971" xr:uid="{00000000-0005-0000-0000-0000296A0000}"/>
    <cellStyle name="Normal 7 8 2 2 3 4" xfId="18832" xr:uid="{00000000-0005-0000-0000-00002A6A0000}"/>
    <cellStyle name="Normal 7 8 2 2 3 4 10" xfId="21074" xr:uid="{00000000-0005-0000-0000-00002B6A0000}"/>
    <cellStyle name="Normal 7 8 2 2 3 4 11" xfId="25758" xr:uid="{00000000-0005-0000-0000-00002C6A0000}"/>
    <cellStyle name="Normal 7 8 2 2 3 4 12" xfId="25908" xr:uid="{00000000-0005-0000-0000-00002D6A0000}"/>
    <cellStyle name="Normal 7 8 2 2 3 4 13" xfId="26962" xr:uid="{00000000-0005-0000-0000-00002E6A0000}"/>
    <cellStyle name="Normal 7 8 2 2 3 4 2" xfId="20349" xr:uid="{00000000-0005-0000-0000-00002F6A0000}"/>
    <cellStyle name="Normal 7 8 2 2 3 4 3" xfId="20916" xr:uid="{00000000-0005-0000-0000-0000306A0000}"/>
    <cellStyle name="Normal 7 8 2 2 3 4 4" xfId="19492" xr:uid="{00000000-0005-0000-0000-0000316A0000}"/>
    <cellStyle name="Normal 7 8 2 2 3 4 5" xfId="20859" xr:uid="{00000000-0005-0000-0000-0000326A0000}"/>
    <cellStyle name="Normal 7 8 2 2 3 4 6" xfId="20463" xr:uid="{00000000-0005-0000-0000-0000336A0000}"/>
    <cellStyle name="Normal 7 8 2 2 3 4 7" xfId="23410" xr:uid="{00000000-0005-0000-0000-0000346A0000}"/>
    <cellStyle name="Normal 7 8 2 2 3 4 8" xfId="23470" xr:uid="{00000000-0005-0000-0000-0000356A0000}"/>
    <cellStyle name="Normal 7 8 2 2 3 4 9" xfId="23128" xr:uid="{00000000-0005-0000-0000-0000366A0000}"/>
    <cellStyle name="Normal 7 8 2 2 3 5" xfId="19380" xr:uid="{00000000-0005-0000-0000-0000376A0000}"/>
    <cellStyle name="Normal 7 8 2 2 4" xfId="18275" xr:uid="{00000000-0005-0000-0000-0000386A0000}"/>
    <cellStyle name="Normal 7 8 2 2 4 2" xfId="18463" xr:uid="{00000000-0005-0000-0000-0000396A0000}"/>
    <cellStyle name="Normal 7 8 2 2 4 2 2" xfId="18586" xr:uid="{00000000-0005-0000-0000-00003A6A0000}"/>
    <cellStyle name="Normal 7 8 2 2 4 2 2 2" xfId="18838" xr:uid="{00000000-0005-0000-0000-00003B6A0000}"/>
    <cellStyle name="Normal 7 8 2 2 4 2 2 2 10" xfId="25299" xr:uid="{00000000-0005-0000-0000-00003C6A0000}"/>
    <cellStyle name="Normal 7 8 2 2 4 2 2 2 11" xfId="24154" xr:uid="{00000000-0005-0000-0000-00003D6A0000}"/>
    <cellStyle name="Normal 7 8 2 2 4 2 2 2 12" xfId="22942" xr:uid="{00000000-0005-0000-0000-00003E6A0000}"/>
    <cellStyle name="Normal 7 8 2 2 4 2 2 2 13" xfId="25668" xr:uid="{00000000-0005-0000-0000-00003F6A0000}"/>
    <cellStyle name="Normal 7 8 2 2 4 2 2 2 2" xfId="20355" xr:uid="{00000000-0005-0000-0000-0000406A0000}"/>
    <cellStyle name="Normal 7 8 2 2 4 2 2 2 3" xfId="19710" xr:uid="{00000000-0005-0000-0000-0000416A0000}"/>
    <cellStyle name="Normal 7 8 2 2 4 2 2 2 4" xfId="21501" xr:uid="{00000000-0005-0000-0000-0000426A0000}"/>
    <cellStyle name="Normal 7 8 2 2 4 2 2 2 5" xfId="22187" xr:uid="{00000000-0005-0000-0000-0000436A0000}"/>
    <cellStyle name="Normal 7 8 2 2 4 2 2 2 6" xfId="22873" xr:uid="{00000000-0005-0000-0000-0000446A0000}"/>
    <cellStyle name="Normal 7 8 2 2 4 2 2 2 7" xfId="21237" xr:uid="{00000000-0005-0000-0000-0000456A0000}"/>
    <cellStyle name="Normal 7 8 2 2 4 2 2 2 8" xfId="24302" xr:uid="{00000000-0005-0000-0000-0000466A0000}"/>
    <cellStyle name="Normal 7 8 2 2 4 2 2 2 9" xfId="23992" xr:uid="{00000000-0005-0000-0000-0000476A0000}"/>
    <cellStyle name="Normal 7 8 2 2 4 2 2 3" xfId="19574" xr:uid="{00000000-0005-0000-0000-0000486A0000}"/>
    <cellStyle name="Normal 7 8 2 2 4 2 3" xfId="18837" xr:uid="{00000000-0005-0000-0000-0000496A0000}"/>
    <cellStyle name="Normal 7 8 2 2 4 2 3 10" xfId="25456" xr:uid="{00000000-0005-0000-0000-00004A6A0000}"/>
    <cellStyle name="Normal 7 8 2 2 4 2 3 11" xfId="24878" xr:uid="{00000000-0005-0000-0000-00004B6A0000}"/>
    <cellStyle name="Normal 7 8 2 2 4 2 3 12" xfId="26648" xr:uid="{00000000-0005-0000-0000-00004C6A0000}"/>
    <cellStyle name="Normal 7 8 2 2 4 2 3 13" xfId="26771" xr:uid="{00000000-0005-0000-0000-00004D6A0000}"/>
    <cellStyle name="Normal 7 8 2 2 4 2 3 2" xfId="20354" xr:uid="{00000000-0005-0000-0000-00004E6A0000}"/>
    <cellStyle name="Normal 7 8 2 2 4 2 3 3" xfId="19711" xr:uid="{00000000-0005-0000-0000-00004F6A0000}"/>
    <cellStyle name="Normal 7 8 2 2 4 2 3 4" xfId="18900" xr:uid="{00000000-0005-0000-0000-0000506A0000}"/>
    <cellStyle name="Normal 7 8 2 2 4 2 3 5" xfId="20827" xr:uid="{00000000-0005-0000-0000-0000516A0000}"/>
    <cellStyle name="Normal 7 8 2 2 4 2 3 6" xfId="19304" xr:uid="{00000000-0005-0000-0000-0000526A0000}"/>
    <cellStyle name="Normal 7 8 2 2 4 2 3 7" xfId="23041" xr:uid="{00000000-0005-0000-0000-0000536A0000}"/>
    <cellStyle name="Normal 7 8 2 2 4 2 3 8" xfId="19695" xr:uid="{00000000-0005-0000-0000-0000546A0000}"/>
    <cellStyle name="Normal 7 8 2 2 4 2 3 9" xfId="24804" xr:uid="{00000000-0005-0000-0000-0000556A0000}"/>
    <cellStyle name="Normal 7 8 2 2 4 2 4" xfId="19249" xr:uid="{00000000-0005-0000-0000-0000566A0000}"/>
    <cellStyle name="Normal 7 8 2 2 4 3" xfId="18585" xr:uid="{00000000-0005-0000-0000-0000576A0000}"/>
    <cellStyle name="Normal 7 8 2 2 4 3 2" xfId="18839" xr:uid="{00000000-0005-0000-0000-0000586A0000}"/>
    <cellStyle name="Normal 7 8 2 2 4 3 2 10" xfId="24856" xr:uid="{00000000-0005-0000-0000-0000596A0000}"/>
    <cellStyle name="Normal 7 8 2 2 4 3 2 11" xfId="26186" xr:uid="{00000000-0005-0000-0000-00005A6A0000}"/>
    <cellStyle name="Normal 7 8 2 2 4 3 2 12" xfId="20086" xr:uid="{00000000-0005-0000-0000-00005B6A0000}"/>
    <cellStyle name="Normal 7 8 2 2 4 3 2 13" xfId="26772" xr:uid="{00000000-0005-0000-0000-00005C6A0000}"/>
    <cellStyle name="Normal 7 8 2 2 4 3 2 2" xfId="20356" xr:uid="{00000000-0005-0000-0000-00005D6A0000}"/>
    <cellStyle name="Normal 7 8 2 2 4 3 2 3" xfId="18935" xr:uid="{00000000-0005-0000-0000-00005E6A0000}"/>
    <cellStyle name="Normal 7 8 2 2 4 3 2 4" xfId="21057" xr:uid="{00000000-0005-0000-0000-00005F6A0000}"/>
    <cellStyle name="Normal 7 8 2 2 4 3 2 5" xfId="21667" xr:uid="{00000000-0005-0000-0000-0000606A0000}"/>
    <cellStyle name="Normal 7 8 2 2 4 3 2 6" xfId="22349" xr:uid="{00000000-0005-0000-0000-0000616A0000}"/>
    <cellStyle name="Normal 7 8 2 2 4 3 2 7" xfId="23230" xr:uid="{00000000-0005-0000-0000-0000626A0000}"/>
    <cellStyle name="Normal 7 8 2 2 4 3 2 8" xfId="23769" xr:uid="{00000000-0005-0000-0000-0000636A0000}"/>
    <cellStyle name="Normal 7 8 2 2 4 3 2 9" xfId="24977" xr:uid="{00000000-0005-0000-0000-0000646A0000}"/>
    <cellStyle name="Normal 7 8 2 2 4 3 3" xfId="19251" xr:uid="{00000000-0005-0000-0000-0000656A0000}"/>
    <cellStyle name="Normal 7 8 2 2 4 4" xfId="18836" xr:uid="{00000000-0005-0000-0000-0000666A0000}"/>
    <cellStyle name="Normal 7 8 2 2 4 4 10" xfId="23484" xr:uid="{00000000-0005-0000-0000-0000676A0000}"/>
    <cellStyle name="Normal 7 8 2 2 4 4 11" xfId="23958" xr:uid="{00000000-0005-0000-0000-0000686A0000}"/>
    <cellStyle name="Normal 7 8 2 2 4 4 12" xfId="26419" xr:uid="{00000000-0005-0000-0000-0000696A0000}"/>
    <cellStyle name="Normal 7 8 2 2 4 4 13" xfId="26965" xr:uid="{00000000-0005-0000-0000-00006A6A0000}"/>
    <cellStyle name="Normal 7 8 2 2 4 4 2" xfId="20353" xr:uid="{00000000-0005-0000-0000-00006B6A0000}"/>
    <cellStyle name="Normal 7 8 2 2 4 4 3" xfId="20917" xr:uid="{00000000-0005-0000-0000-00006C6A0000}"/>
    <cellStyle name="Normal 7 8 2 2 4 4 4" xfId="19959" xr:uid="{00000000-0005-0000-0000-00006D6A0000}"/>
    <cellStyle name="Normal 7 8 2 2 4 4 5" xfId="21260" xr:uid="{00000000-0005-0000-0000-00006E6A0000}"/>
    <cellStyle name="Normal 7 8 2 2 4 4 6" xfId="21896" xr:uid="{00000000-0005-0000-0000-00006F6A0000}"/>
    <cellStyle name="Normal 7 8 2 2 4 4 7" xfId="23596" xr:uid="{00000000-0005-0000-0000-0000706A0000}"/>
    <cellStyle name="Normal 7 8 2 2 4 4 8" xfId="19916" xr:uid="{00000000-0005-0000-0000-0000716A0000}"/>
    <cellStyle name="Normal 7 8 2 2 4 4 9" xfId="24638" xr:uid="{00000000-0005-0000-0000-0000726A0000}"/>
    <cellStyle name="Normal 7 8 2 2 4 5" xfId="19378" xr:uid="{00000000-0005-0000-0000-0000736A0000}"/>
    <cellStyle name="Normal 7 8 2 2 5" xfId="18460" xr:uid="{00000000-0005-0000-0000-0000746A0000}"/>
    <cellStyle name="Normal 7 8 2 2 5 2" xfId="18587" xr:uid="{00000000-0005-0000-0000-0000756A0000}"/>
    <cellStyle name="Normal 7 8 2 2 5 2 2" xfId="18841" xr:uid="{00000000-0005-0000-0000-0000766A0000}"/>
    <cellStyle name="Normal 7 8 2 2 5 2 2 10" xfId="25618" xr:uid="{00000000-0005-0000-0000-0000776A0000}"/>
    <cellStyle name="Normal 7 8 2 2 5 2 2 11" xfId="25504" xr:uid="{00000000-0005-0000-0000-0000786A0000}"/>
    <cellStyle name="Normal 7 8 2 2 5 2 2 12" xfId="25212" xr:uid="{00000000-0005-0000-0000-0000796A0000}"/>
    <cellStyle name="Normal 7 8 2 2 5 2 2 13" xfId="26551" xr:uid="{00000000-0005-0000-0000-00007A6A0000}"/>
    <cellStyle name="Normal 7 8 2 2 5 2 2 2" xfId="20358" xr:uid="{00000000-0005-0000-0000-00007B6A0000}"/>
    <cellStyle name="Normal 7 8 2 2 5 2 2 3" xfId="20664" xr:uid="{00000000-0005-0000-0000-00007C6A0000}"/>
    <cellStyle name="Normal 7 8 2 2 5 2 2 4" xfId="21211" xr:uid="{00000000-0005-0000-0000-00007D6A0000}"/>
    <cellStyle name="Normal 7 8 2 2 5 2 2 5" xfId="21843" xr:uid="{00000000-0005-0000-0000-00007E6A0000}"/>
    <cellStyle name="Normal 7 8 2 2 5 2 2 6" xfId="22528" xr:uid="{00000000-0005-0000-0000-00007F6A0000}"/>
    <cellStyle name="Normal 7 8 2 2 5 2 2 7" xfId="19063" xr:uid="{00000000-0005-0000-0000-0000806A0000}"/>
    <cellStyle name="Normal 7 8 2 2 5 2 2 8" xfId="23947" xr:uid="{00000000-0005-0000-0000-0000816A0000}"/>
    <cellStyle name="Normal 7 8 2 2 5 2 2 9" xfId="23636" xr:uid="{00000000-0005-0000-0000-0000826A0000}"/>
    <cellStyle name="Normal 7 8 2 2 5 2 3" xfId="18970" xr:uid="{00000000-0005-0000-0000-0000836A0000}"/>
    <cellStyle name="Normal 7 8 2 2 5 3" xfId="18840" xr:uid="{00000000-0005-0000-0000-0000846A0000}"/>
    <cellStyle name="Normal 7 8 2 2 5 3 10" xfId="25297" xr:uid="{00000000-0005-0000-0000-0000856A0000}"/>
    <cellStyle name="Normal 7 8 2 2 5 3 11" xfId="25760" xr:uid="{00000000-0005-0000-0000-0000866A0000}"/>
    <cellStyle name="Normal 7 8 2 2 5 3 12" xfId="25624" xr:uid="{00000000-0005-0000-0000-0000876A0000}"/>
    <cellStyle name="Normal 7 8 2 2 5 3 13" xfId="26964" xr:uid="{00000000-0005-0000-0000-0000886A0000}"/>
    <cellStyle name="Normal 7 8 2 2 5 3 2" xfId="20357" xr:uid="{00000000-0005-0000-0000-0000896A0000}"/>
    <cellStyle name="Normal 7 8 2 2 5 3 3" xfId="19555" xr:uid="{00000000-0005-0000-0000-00008A6A0000}"/>
    <cellStyle name="Normal 7 8 2 2 5 3 4" xfId="20837" xr:uid="{00000000-0005-0000-0000-00008B6A0000}"/>
    <cellStyle name="Normal 7 8 2 2 5 3 5" xfId="20813" xr:uid="{00000000-0005-0000-0000-00008C6A0000}"/>
    <cellStyle name="Normal 7 8 2 2 5 3 6" xfId="19540" xr:uid="{00000000-0005-0000-0000-00008D6A0000}"/>
    <cellStyle name="Normal 7 8 2 2 5 3 7" xfId="23597" xr:uid="{00000000-0005-0000-0000-00008E6A0000}"/>
    <cellStyle name="Normal 7 8 2 2 5 3 8" xfId="23099" xr:uid="{00000000-0005-0000-0000-00008F6A0000}"/>
    <cellStyle name="Normal 7 8 2 2 5 3 9" xfId="24460" xr:uid="{00000000-0005-0000-0000-0000906A0000}"/>
    <cellStyle name="Normal 7 8 2 2 5 4" xfId="19577" xr:uid="{00000000-0005-0000-0000-0000916A0000}"/>
    <cellStyle name="Normal 7 8 2 2 6" xfId="18580" xr:uid="{00000000-0005-0000-0000-0000926A0000}"/>
    <cellStyle name="Normal 7 8 2 2 6 2" xfId="18842" xr:uid="{00000000-0005-0000-0000-0000936A0000}"/>
    <cellStyle name="Normal 7 8 2 2 6 2 10" xfId="24512" xr:uid="{00000000-0005-0000-0000-0000946A0000}"/>
    <cellStyle name="Normal 7 8 2 2 6 2 11" xfId="25907" xr:uid="{00000000-0005-0000-0000-0000956A0000}"/>
    <cellStyle name="Normal 7 8 2 2 6 2 12" xfId="26421" xr:uid="{00000000-0005-0000-0000-0000966A0000}"/>
    <cellStyle name="Normal 7 8 2 2 6 2 13" xfId="26320" xr:uid="{00000000-0005-0000-0000-0000976A0000}"/>
    <cellStyle name="Normal 7 8 2 2 6 2 2" xfId="20359" xr:uid="{00000000-0005-0000-0000-0000986A0000}"/>
    <cellStyle name="Normal 7 8 2 2 6 2 3" xfId="20788" xr:uid="{00000000-0005-0000-0000-0000996A0000}"/>
    <cellStyle name="Normal 7 8 2 2 6 2 4" xfId="21502" xr:uid="{00000000-0005-0000-0000-00009A6A0000}"/>
    <cellStyle name="Normal 7 8 2 2 6 2 5" xfId="22188" xr:uid="{00000000-0005-0000-0000-00009B6A0000}"/>
    <cellStyle name="Normal 7 8 2 2 6 2 6" xfId="22874" xr:uid="{00000000-0005-0000-0000-00009C6A0000}"/>
    <cellStyle name="Normal 7 8 2 2 6 2 7" xfId="21917" xr:uid="{00000000-0005-0000-0000-00009D6A0000}"/>
    <cellStyle name="Normal 7 8 2 2 6 2 8" xfId="24303" xr:uid="{00000000-0005-0000-0000-00009E6A0000}"/>
    <cellStyle name="Normal 7 8 2 2 6 2 9" xfId="23127" xr:uid="{00000000-0005-0000-0000-00009F6A0000}"/>
    <cellStyle name="Normal 7 8 2 2 6 3" xfId="19377" xr:uid="{00000000-0005-0000-0000-0000A06A0000}"/>
    <cellStyle name="Normal 7 8 2 2 7" xfId="18827" xr:uid="{00000000-0005-0000-0000-0000A16A0000}"/>
    <cellStyle name="Normal 7 8 2 2 7 10" xfId="21760" xr:uid="{00000000-0005-0000-0000-0000A26A0000}"/>
    <cellStyle name="Normal 7 8 2 2 7 11" xfId="26182" xr:uid="{00000000-0005-0000-0000-0000A36A0000}"/>
    <cellStyle name="Normal 7 8 2 2 7 12" xfId="24208" xr:uid="{00000000-0005-0000-0000-0000A46A0000}"/>
    <cellStyle name="Normal 7 8 2 2 7 13" xfId="26075" xr:uid="{00000000-0005-0000-0000-0000A56A0000}"/>
    <cellStyle name="Normal 7 8 2 2 7 2" xfId="20344" xr:uid="{00000000-0005-0000-0000-0000A66A0000}"/>
    <cellStyle name="Normal 7 8 2 2 7 3" xfId="20529" xr:uid="{00000000-0005-0000-0000-0000A76A0000}"/>
    <cellStyle name="Normal 7 8 2 2 7 4" xfId="19687" xr:uid="{00000000-0005-0000-0000-0000A86A0000}"/>
    <cellStyle name="Normal 7 8 2 2 7 5" xfId="21408" xr:uid="{00000000-0005-0000-0000-0000A96A0000}"/>
    <cellStyle name="Normal 7 8 2 2 7 6" xfId="22068" xr:uid="{00000000-0005-0000-0000-0000AA6A0000}"/>
    <cellStyle name="Normal 7 8 2 2 7 7" xfId="22063" xr:uid="{00000000-0005-0000-0000-0000AB6A0000}"/>
    <cellStyle name="Normal 7 8 2 2 7 8" xfId="22603" xr:uid="{00000000-0005-0000-0000-0000AC6A0000}"/>
    <cellStyle name="Normal 7 8 2 2 7 9" xfId="24975" xr:uid="{00000000-0005-0000-0000-0000AD6A0000}"/>
    <cellStyle name="Normal 7 8 2 2 8" xfId="19252" xr:uid="{00000000-0005-0000-0000-0000AE6A0000}"/>
    <cellStyle name="Normal 7 8 2 2_Fordelinger" xfId="18278" xr:uid="{00000000-0005-0000-0000-0000AF6A0000}"/>
    <cellStyle name="Normal 7 8 2 3" xfId="18279" xr:uid="{00000000-0005-0000-0000-0000B06A0000}"/>
    <cellStyle name="Normal 7 8 2 3 2" xfId="18464" xr:uid="{00000000-0005-0000-0000-0000B16A0000}"/>
    <cellStyle name="Normal 7 8 2 3 2 2" xfId="18589" xr:uid="{00000000-0005-0000-0000-0000B26A0000}"/>
    <cellStyle name="Normal 7 8 2 3 2 2 2" xfId="18845" xr:uid="{00000000-0005-0000-0000-0000B36A0000}"/>
    <cellStyle name="Normal 7 8 2 3 2 2 2 10" xfId="25458" xr:uid="{00000000-0005-0000-0000-0000B46A0000}"/>
    <cellStyle name="Normal 7 8 2 3 2 2 2 11" xfId="24360" xr:uid="{00000000-0005-0000-0000-0000B56A0000}"/>
    <cellStyle name="Normal 7 8 2 3 2 2 2 12" xfId="26649" xr:uid="{00000000-0005-0000-0000-0000B66A0000}"/>
    <cellStyle name="Normal 7 8 2 3 2 2 2 13" xfId="26773" xr:uid="{00000000-0005-0000-0000-0000B76A0000}"/>
    <cellStyle name="Normal 7 8 2 3 2 2 2 2" xfId="20362" xr:uid="{00000000-0005-0000-0000-0000B86A0000}"/>
    <cellStyle name="Normal 7 8 2 3 2 2 2 3" xfId="20531" xr:uid="{00000000-0005-0000-0000-0000B96A0000}"/>
    <cellStyle name="Normal 7 8 2 3 2 2 2 4" xfId="19471" xr:uid="{00000000-0005-0000-0000-0000BA6A0000}"/>
    <cellStyle name="Normal 7 8 2 3 2 2 2 5" xfId="18901" xr:uid="{00000000-0005-0000-0000-0000BB6A0000}"/>
    <cellStyle name="Normal 7 8 2 3 2 2 2 6" xfId="19879" xr:uid="{00000000-0005-0000-0000-0000BC6A0000}"/>
    <cellStyle name="Normal 7 8 2 3 2 2 2 7" xfId="23232" xr:uid="{00000000-0005-0000-0000-0000BD6A0000}"/>
    <cellStyle name="Normal 7 8 2 3 2 2 2 8" xfId="22752" xr:uid="{00000000-0005-0000-0000-0000BE6A0000}"/>
    <cellStyle name="Normal 7 8 2 3 2 2 2 9" xfId="23635" xr:uid="{00000000-0005-0000-0000-0000BF6A0000}"/>
    <cellStyle name="Normal 7 8 2 3 2 2 3" xfId="19576" xr:uid="{00000000-0005-0000-0000-0000C06A0000}"/>
    <cellStyle name="Normal 7 8 2 3 2 3" xfId="18844" xr:uid="{00000000-0005-0000-0000-0000C16A0000}"/>
    <cellStyle name="Normal 7 8 2 3 2 3 10" xfId="23623" xr:uid="{00000000-0005-0000-0000-0000C26A0000}"/>
    <cellStyle name="Normal 7 8 2 3 2 3 11" xfId="25180" xr:uid="{00000000-0005-0000-0000-0000C36A0000}"/>
    <cellStyle name="Normal 7 8 2 3 2 3 12" xfId="23614" xr:uid="{00000000-0005-0000-0000-0000C46A0000}"/>
    <cellStyle name="Normal 7 8 2 3 2 3 13" xfId="27060" xr:uid="{00000000-0005-0000-0000-0000C56A0000}"/>
    <cellStyle name="Normal 7 8 2 3 2 3 2" xfId="20361" xr:uid="{00000000-0005-0000-0000-0000C66A0000}"/>
    <cellStyle name="Normal 7 8 2 3 2 3 3" xfId="20918" xr:uid="{00000000-0005-0000-0000-0000C76A0000}"/>
    <cellStyle name="Normal 7 8 2 3 2 3 4" xfId="19960" xr:uid="{00000000-0005-0000-0000-0000C86A0000}"/>
    <cellStyle name="Normal 7 8 2 3 2 3 5" xfId="19885" xr:uid="{00000000-0005-0000-0000-0000C96A0000}"/>
    <cellStyle name="Normal 7 8 2 3 2 3 6" xfId="21281" xr:uid="{00000000-0005-0000-0000-0000CA6A0000}"/>
    <cellStyle name="Normal 7 8 2 3 2 3 7" xfId="21890" xr:uid="{00000000-0005-0000-0000-0000CB6A0000}"/>
    <cellStyle name="Normal 7 8 2 3 2 3 8" xfId="21873" xr:uid="{00000000-0005-0000-0000-0000CC6A0000}"/>
    <cellStyle name="Normal 7 8 2 3 2 3 9" xfId="24637" xr:uid="{00000000-0005-0000-0000-0000CD6A0000}"/>
    <cellStyle name="Normal 7 8 2 3 2 4" xfId="19250" xr:uid="{00000000-0005-0000-0000-0000CE6A0000}"/>
    <cellStyle name="Normal 7 8 2 3 3" xfId="18588" xr:uid="{00000000-0005-0000-0000-0000CF6A0000}"/>
    <cellStyle name="Normal 7 8 2 3 3 2" xfId="18846" xr:uid="{00000000-0005-0000-0000-0000D06A0000}"/>
    <cellStyle name="Normal 7 8 2 3 3 2 10" xfId="25133" xr:uid="{00000000-0005-0000-0000-0000D16A0000}"/>
    <cellStyle name="Normal 7 8 2 3 3 2 11" xfId="22617" xr:uid="{00000000-0005-0000-0000-0000D26A0000}"/>
    <cellStyle name="Normal 7 8 2 3 3 2 12" xfId="26304" xr:uid="{00000000-0005-0000-0000-0000D36A0000}"/>
    <cellStyle name="Normal 7 8 2 3 3 2 13" xfId="25951" xr:uid="{00000000-0005-0000-0000-0000D46A0000}"/>
    <cellStyle name="Normal 7 8 2 3 3 2 2" xfId="20363" xr:uid="{00000000-0005-0000-0000-0000D56A0000}"/>
    <cellStyle name="Normal 7 8 2 3 3 2 3" xfId="19708" xr:uid="{00000000-0005-0000-0000-0000D66A0000}"/>
    <cellStyle name="Normal 7 8 2 3 3 2 4" xfId="19321" xr:uid="{00000000-0005-0000-0000-0000D76A0000}"/>
    <cellStyle name="Normal 7 8 2 3 3 2 5" xfId="19978" xr:uid="{00000000-0005-0000-0000-0000D86A0000}"/>
    <cellStyle name="Normal 7 8 2 3 3 2 6" xfId="21254" xr:uid="{00000000-0005-0000-0000-0000D96A0000}"/>
    <cellStyle name="Normal 7 8 2 3 3 2 7" xfId="23412" xr:uid="{00000000-0005-0000-0000-0000DA6A0000}"/>
    <cellStyle name="Normal 7 8 2 3 3 2 8" xfId="20670" xr:uid="{00000000-0005-0000-0000-0000DB6A0000}"/>
    <cellStyle name="Normal 7 8 2 3 3 2 9" xfId="24635" xr:uid="{00000000-0005-0000-0000-0000DC6A0000}"/>
    <cellStyle name="Normal 7 8 2 3 3 3" xfId="18969" xr:uid="{00000000-0005-0000-0000-0000DD6A0000}"/>
    <cellStyle name="Normal 7 8 2 3 4" xfId="18843" xr:uid="{00000000-0005-0000-0000-0000DE6A0000}"/>
    <cellStyle name="Normal 7 8 2 3 4 10" xfId="23115" xr:uid="{00000000-0005-0000-0000-0000DF6A0000}"/>
    <cellStyle name="Normal 7 8 2 3 4 11" xfId="26187" xr:uid="{00000000-0005-0000-0000-0000E06A0000}"/>
    <cellStyle name="Normal 7 8 2 3 4 12" xfId="26533" xr:uid="{00000000-0005-0000-0000-0000E16A0000}"/>
    <cellStyle name="Normal 7 8 2 3 4 13" xfId="25359" xr:uid="{00000000-0005-0000-0000-0000E26A0000}"/>
    <cellStyle name="Normal 7 8 2 3 4 2" xfId="20360" xr:uid="{00000000-0005-0000-0000-0000E36A0000}"/>
    <cellStyle name="Normal 7 8 2 3 4 3" xfId="19709" xr:uid="{00000000-0005-0000-0000-0000E46A0000}"/>
    <cellStyle name="Normal 7 8 2 3 4 4" xfId="20581" xr:uid="{00000000-0005-0000-0000-0000E56A0000}"/>
    <cellStyle name="Normal 7 8 2 3 4 5" xfId="19886" xr:uid="{00000000-0005-0000-0000-0000E66A0000}"/>
    <cellStyle name="Normal 7 8 2 3 4 6" xfId="20064" xr:uid="{00000000-0005-0000-0000-0000E76A0000}"/>
    <cellStyle name="Normal 7 8 2 3 4 7" xfId="21143" xr:uid="{00000000-0005-0000-0000-0000E86A0000}"/>
    <cellStyle name="Normal 7 8 2 3 4 8" xfId="23282" xr:uid="{00000000-0005-0000-0000-0000E96A0000}"/>
    <cellStyle name="Normal 7 8 2 3 4 9" xfId="24805" xr:uid="{00000000-0005-0000-0000-0000EA6A0000}"/>
    <cellStyle name="Normal 7 8 2 3 5" xfId="19575" xr:uid="{00000000-0005-0000-0000-0000EB6A0000}"/>
    <cellStyle name="Normal 7 8 2 4" xfId="18280" xr:uid="{00000000-0005-0000-0000-0000EC6A0000}"/>
    <cellStyle name="Normal 7 8 2 4 2" xfId="18465" xr:uid="{00000000-0005-0000-0000-0000ED6A0000}"/>
    <cellStyle name="Normal 7 8 2 4 2 2" xfId="18591" xr:uid="{00000000-0005-0000-0000-0000EE6A0000}"/>
    <cellStyle name="Normal 7 8 2 4 2 2 2" xfId="18849" xr:uid="{00000000-0005-0000-0000-0000EF6A0000}"/>
    <cellStyle name="Normal 7 8 2 4 2 2 2 10" xfId="25457" xr:uid="{00000000-0005-0000-0000-0000F06A0000}"/>
    <cellStyle name="Normal 7 8 2 4 2 2 2 11" xfId="26045" xr:uid="{00000000-0005-0000-0000-0000F16A0000}"/>
    <cellStyle name="Normal 7 8 2 4 2 2 2 12" xfId="26534" xr:uid="{00000000-0005-0000-0000-0000F26A0000}"/>
    <cellStyle name="Normal 7 8 2 4 2 2 2 13" xfId="26321" xr:uid="{00000000-0005-0000-0000-0000F36A0000}"/>
    <cellStyle name="Normal 7 8 2 4 2 2 2 2" xfId="20366" xr:uid="{00000000-0005-0000-0000-0000F46A0000}"/>
    <cellStyle name="Normal 7 8 2 4 2 2 2 3" xfId="20663" xr:uid="{00000000-0005-0000-0000-0000F56A0000}"/>
    <cellStyle name="Normal 7 8 2 4 2 2 2 4" xfId="20582" xr:uid="{00000000-0005-0000-0000-0000F66A0000}"/>
    <cellStyle name="Normal 7 8 2 4 2 2 2 5" xfId="21259" xr:uid="{00000000-0005-0000-0000-0000F76A0000}"/>
    <cellStyle name="Normal 7 8 2 4 2 2 2 6" xfId="21895" xr:uid="{00000000-0005-0000-0000-0000F86A0000}"/>
    <cellStyle name="Normal 7 8 2 4 2 2 2 7" xfId="23042" xr:uid="{00000000-0005-0000-0000-0000F96A0000}"/>
    <cellStyle name="Normal 7 8 2 4 2 2 2 8" xfId="18930" xr:uid="{00000000-0005-0000-0000-0000FA6A0000}"/>
    <cellStyle name="Normal 7 8 2 4 2 2 2 9" xfId="22205" xr:uid="{00000000-0005-0000-0000-0000FB6A0000}"/>
    <cellStyle name="Normal 7 8 2 4 2 2 3" xfId="19375" xr:uid="{00000000-0005-0000-0000-0000FC6A0000}"/>
    <cellStyle name="Normal 7 8 2 4 2 3" xfId="18848" xr:uid="{00000000-0005-0000-0000-0000FD6A0000}"/>
    <cellStyle name="Normal 7 8 2 4 2 3 10" xfId="25134" xr:uid="{00000000-0005-0000-0000-0000FE6A0000}"/>
    <cellStyle name="Normal 7 8 2 4 2 3 11" xfId="25761" xr:uid="{00000000-0005-0000-0000-0000FF6A0000}"/>
    <cellStyle name="Normal 7 8 2 4 2 3 12" xfId="23504" xr:uid="{00000000-0005-0000-0000-0000006B0000}"/>
    <cellStyle name="Normal 7 8 2 4 2 3 13" xfId="27061" xr:uid="{00000000-0005-0000-0000-0000016B0000}"/>
    <cellStyle name="Normal 7 8 2 4 2 3 2" xfId="20365" xr:uid="{00000000-0005-0000-0000-0000026B0000}"/>
    <cellStyle name="Normal 7 8 2 4 2 3 3" xfId="20789" xr:uid="{00000000-0005-0000-0000-0000036B0000}"/>
    <cellStyle name="Normal 7 8 2 4 2 3 4" xfId="21350" xr:uid="{00000000-0005-0000-0000-0000046B0000}"/>
    <cellStyle name="Normal 7 8 2 4 2 3 5" xfId="22012" xr:uid="{00000000-0005-0000-0000-0000056B0000}"/>
    <cellStyle name="Normal 7 8 2 4 2 3 6" xfId="22701" xr:uid="{00000000-0005-0000-0000-0000066B0000}"/>
    <cellStyle name="Normal 7 8 2 4 2 3 7" xfId="23598" xr:uid="{00000000-0005-0000-0000-0000076B0000}"/>
    <cellStyle name="Normal 7 8 2 4 2 3 8" xfId="24121" xr:uid="{00000000-0005-0000-0000-0000086B0000}"/>
    <cellStyle name="Normal 7 8 2 4 2 3 9" xfId="24176" xr:uid="{00000000-0005-0000-0000-0000096B0000}"/>
    <cellStyle name="Normal 7 8 2 4 2 4" xfId="18968" xr:uid="{00000000-0005-0000-0000-00000A6B0000}"/>
    <cellStyle name="Normal 7 8 2 4 3" xfId="18590" xr:uid="{00000000-0005-0000-0000-00000B6B0000}"/>
    <cellStyle name="Normal 7 8 2 4 3 2" xfId="18850" xr:uid="{00000000-0005-0000-0000-00000C6B0000}"/>
    <cellStyle name="Normal 7 8 2 4 3 2 10" xfId="24679" xr:uid="{00000000-0005-0000-0000-00000D6B0000}"/>
    <cellStyle name="Normal 7 8 2 4 3 2 11" xfId="25181" xr:uid="{00000000-0005-0000-0000-00000E6B0000}"/>
    <cellStyle name="Normal 7 8 2 4 3 2 12" xfId="26420" xr:uid="{00000000-0005-0000-0000-00000F6B0000}"/>
    <cellStyle name="Normal 7 8 2 4 3 2 13" xfId="26431" xr:uid="{00000000-0005-0000-0000-0000106B0000}"/>
    <cellStyle name="Normal 7 8 2 4 3 2 2" xfId="20367" xr:uid="{00000000-0005-0000-0000-0000116B0000}"/>
    <cellStyle name="Normal 7 8 2 4 3 2 3" xfId="19706" xr:uid="{00000000-0005-0000-0000-0000126B0000}"/>
    <cellStyle name="Normal 7 8 2 4 3 2 4" xfId="21503" xr:uid="{00000000-0005-0000-0000-0000136B0000}"/>
    <cellStyle name="Normal 7 8 2 4 3 2 5" xfId="22189" xr:uid="{00000000-0005-0000-0000-0000146B0000}"/>
    <cellStyle name="Normal 7 8 2 4 3 2 6" xfId="22875" xr:uid="{00000000-0005-0000-0000-0000156B0000}"/>
    <cellStyle name="Normal 7 8 2 4 3 2 7" xfId="22228" xr:uid="{00000000-0005-0000-0000-0000166B0000}"/>
    <cellStyle name="Normal 7 8 2 4 3 2 8" xfId="24304" xr:uid="{00000000-0005-0000-0000-0000176B0000}"/>
    <cellStyle name="Normal 7 8 2 4 3 2 9" xfId="23637" xr:uid="{00000000-0005-0000-0000-0000186B0000}"/>
    <cellStyle name="Normal 7 8 2 4 3 3" xfId="18967" xr:uid="{00000000-0005-0000-0000-0000196B0000}"/>
    <cellStyle name="Normal 7 8 2 4 4" xfId="18847" xr:uid="{00000000-0005-0000-0000-00001A6B0000}"/>
    <cellStyle name="Normal 7 8 2 4 4 10" xfId="24513" xr:uid="{00000000-0005-0000-0000-00001B6B0000}"/>
    <cellStyle name="Normal 7 8 2 4 4 11" xfId="24155" xr:uid="{00000000-0005-0000-0000-00001C6B0000}"/>
    <cellStyle name="Normal 7 8 2 4 4 12" xfId="23971" xr:uid="{00000000-0005-0000-0000-00001D6B0000}"/>
    <cellStyle name="Normal 7 8 2 4 4 13" xfId="26870" xr:uid="{00000000-0005-0000-0000-00001E6B0000}"/>
    <cellStyle name="Normal 7 8 2 4 4 2" xfId="20364" xr:uid="{00000000-0005-0000-0000-00001F6B0000}"/>
    <cellStyle name="Normal 7 8 2 4 4 3" xfId="19707" xr:uid="{00000000-0005-0000-0000-0000206B0000}"/>
    <cellStyle name="Normal 7 8 2 4 4 4" xfId="21213" xr:uid="{00000000-0005-0000-0000-0000216B0000}"/>
    <cellStyle name="Normal 7 8 2 4 4 5" xfId="21845" xr:uid="{00000000-0005-0000-0000-0000226B0000}"/>
    <cellStyle name="Normal 7 8 2 4 4 6" xfId="22530" xr:uid="{00000000-0005-0000-0000-0000236B0000}"/>
    <cellStyle name="Normal 7 8 2 4 4 7" xfId="22579" xr:uid="{00000000-0005-0000-0000-0000246B0000}"/>
    <cellStyle name="Normal 7 8 2 4 4 8" xfId="23949" xr:uid="{00000000-0005-0000-0000-0000256B0000}"/>
    <cellStyle name="Normal 7 8 2 4 4 9" xfId="24974" xr:uid="{00000000-0005-0000-0000-0000266B0000}"/>
    <cellStyle name="Normal 7 8 2 4 5" xfId="19376" xr:uid="{00000000-0005-0000-0000-0000276B0000}"/>
    <cellStyle name="Normal 7 8 2 5" xfId="18274" xr:uid="{00000000-0005-0000-0000-0000286B0000}"/>
    <cellStyle name="Normal 7 8 2 5 2" xfId="18466" xr:uid="{00000000-0005-0000-0000-0000296B0000}"/>
    <cellStyle name="Normal 7 8 2 5 2 2" xfId="18593" xr:uid="{00000000-0005-0000-0000-00002A6B0000}"/>
    <cellStyle name="Normal 7 8 2 5 2 2 2" xfId="18853" xr:uid="{00000000-0005-0000-0000-00002B6B0000}"/>
    <cellStyle name="Normal 7 8 2 5 2 2 2 10" xfId="25622" xr:uid="{00000000-0005-0000-0000-00002C6B0000}"/>
    <cellStyle name="Normal 7 8 2 5 2 2 2 11" xfId="24334" xr:uid="{00000000-0005-0000-0000-00002D6B0000}"/>
    <cellStyle name="Normal 7 8 2 5 2 2 2 12" xfId="26646" xr:uid="{00000000-0005-0000-0000-00002E6B0000}"/>
    <cellStyle name="Normal 7 8 2 5 2 2 2 13" xfId="26872" xr:uid="{00000000-0005-0000-0000-00002F6B0000}"/>
    <cellStyle name="Normal 7 8 2 5 2 2 2 2" xfId="20370" xr:uid="{00000000-0005-0000-0000-0000306B0000}"/>
    <cellStyle name="Normal 7 8 2 5 2 2 2 3" xfId="19705" xr:uid="{00000000-0005-0000-0000-0000316B0000}"/>
    <cellStyle name="Normal 7 8 2 5 2 2 2 4" xfId="19362" xr:uid="{00000000-0005-0000-0000-0000326B0000}"/>
    <cellStyle name="Normal 7 8 2 5 2 2 2 5" xfId="19530" xr:uid="{00000000-0005-0000-0000-0000336B0000}"/>
    <cellStyle name="Normal 7 8 2 5 2 2 2 6" xfId="21141" xr:uid="{00000000-0005-0000-0000-0000346B0000}"/>
    <cellStyle name="Normal 7 8 2 5 2 2 2 7" xfId="23231" xr:uid="{00000000-0005-0000-0000-0000356B0000}"/>
    <cellStyle name="Normal 7 8 2 5 2 2 2 8" xfId="23281" xr:uid="{00000000-0005-0000-0000-0000366B0000}"/>
    <cellStyle name="Normal 7 8 2 5 2 2 2 9" xfId="22560" xr:uid="{00000000-0005-0000-0000-0000376B0000}"/>
    <cellStyle name="Normal 7 8 2 5 2 2 3" xfId="19373" xr:uid="{00000000-0005-0000-0000-0000386B0000}"/>
    <cellStyle name="Normal 7 8 2 5 2 3" xfId="18852" xr:uid="{00000000-0005-0000-0000-0000396B0000}"/>
    <cellStyle name="Normal 7 8 2 5 2 3 10" xfId="23979" xr:uid="{00000000-0005-0000-0000-00003A6B0000}"/>
    <cellStyle name="Normal 7 8 2 5 2 3 11" xfId="25335" xr:uid="{00000000-0005-0000-0000-00003B6B0000}"/>
    <cellStyle name="Normal 7 8 2 5 2 3 12" xfId="26418" xr:uid="{00000000-0005-0000-0000-00003C6B0000}"/>
    <cellStyle name="Normal 7 8 2 5 2 3 13" xfId="26077" xr:uid="{00000000-0005-0000-0000-00003D6B0000}"/>
    <cellStyle name="Normal 7 8 2 5 2 3 2" xfId="20369" xr:uid="{00000000-0005-0000-0000-00003E6B0000}"/>
    <cellStyle name="Normal 7 8 2 5 2 3 3" xfId="20915" xr:uid="{00000000-0005-0000-0000-00003F6B0000}"/>
    <cellStyle name="Normal 7 8 2 5 2 3 4" xfId="20709" xr:uid="{00000000-0005-0000-0000-0000406B0000}"/>
    <cellStyle name="Normal 7 8 2 5 2 3 5" xfId="20960" xr:uid="{00000000-0005-0000-0000-0000416B0000}"/>
    <cellStyle name="Normal 7 8 2 5 2 3 6" xfId="21543" xr:uid="{00000000-0005-0000-0000-0000426B0000}"/>
    <cellStyle name="Normal 7 8 2 5 2 3 7" xfId="23413" xr:uid="{00000000-0005-0000-0000-0000436B0000}"/>
    <cellStyle name="Normal 7 8 2 5 2 3 8" xfId="22604" xr:uid="{00000000-0005-0000-0000-0000446B0000}"/>
    <cellStyle name="Normal 7 8 2 5 2 3 9" xfId="24461" xr:uid="{00000000-0005-0000-0000-0000456B0000}"/>
    <cellStyle name="Normal 7 8 2 5 2 4" xfId="18966" xr:uid="{00000000-0005-0000-0000-0000466B0000}"/>
    <cellStyle name="Normal 7 8 2 5 3" xfId="18592" xr:uid="{00000000-0005-0000-0000-0000476B0000}"/>
    <cellStyle name="Normal 7 8 2 5 3 2" xfId="18854" xr:uid="{00000000-0005-0000-0000-0000486B0000}"/>
    <cellStyle name="Normal 7 8 2 5 3 2 10" xfId="25135" xr:uid="{00000000-0005-0000-0000-0000496B0000}"/>
    <cellStyle name="Normal 7 8 2 5 3 2 11" xfId="22899" xr:uid="{00000000-0005-0000-0000-00004A6B0000}"/>
    <cellStyle name="Normal 7 8 2 5 3 2 12" xfId="24993" xr:uid="{00000000-0005-0000-0000-00004B6B0000}"/>
    <cellStyle name="Normal 7 8 2 5 3 2 13" xfId="26966" xr:uid="{00000000-0005-0000-0000-00004C6B0000}"/>
    <cellStyle name="Normal 7 8 2 5 3 2 2" xfId="20371" xr:uid="{00000000-0005-0000-0000-00004D6B0000}"/>
    <cellStyle name="Normal 7 8 2 5 3 2 3" xfId="19704" xr:uid="{00000000-0005-0000-0000-00004E6B0000}"/>
    <cellStyle name="Normal 7 8 2 5 3 2 4" xfId="21351" xr:uid="{00000000-0005-0000-0000-00004F6B0000}"/>
    <cellStyle name="Normal 7 8 2 5 3 2 5" xfId="22013" xr:uid="{00000000-0005-0000-0000-0000506B0000}"/>
    <cellStyle name="Normal 7 8 2 5 3 2 6" xfId="22702" xr:uid="{00000000-0005-0000-0000-0000516B0000}"/>
    <cellStyle name="Normal 7 8 2 5 3 2 7" xfId="22227" xr:uid="{00000000-0005-0000-0000-0000526B0000}"/>
    <cellStyle name="Normal 7 8 2 5 3 2 8" xfId="24122" xr:uid="{00000000-0005-0000-0000-0000536B0000}"/>
    <cellStyle name="Normal 7 8 2 5 3 2 9" xfId="24462" xr:uid="{00000000-0005-0000-0000-0000546B0000}"/>
    <cellStyle name="Normal 7 8 2 5 3 3" xfId="19246" xr:uid="{00000000-0005-0000-0000-0000556B0000}"/>
    <cellStyle name="Normal 7 8 2 5 4" xfId="18851" xr:uid="{00000000-0005-0000-0000-0000566B0000}"/>
    <cellStyle name="Normal 7 8 2 5 4 10" xfId="22443" xr:uid="{00000000-0005-0000-0000-0000576B0000}"/>
    <cellStyle name="Normal 7 8 2 5 4 11" xfId="22538" xr:uid="{00000000-0005-0000-0000-0000586B0000}"/>
    <cellStyle name="Normal 7 8 2 5 4 12" xfId="25485" xr:uid="{00000000-0005-0000-0000-0000596B0000}"/>
    <cellStyle name="Normal 7 8 2 5 4 13" xfId="25790" xr:uid="{00000000-0005-0000-0000-00005A6B0000}"/>
    <cellStyle name="Normal 7 8 2 5 4 2" xfId="20368" xr:uid="{00000000-0005-0000-0000-00005B6B0000}"/>
    <cellStyle name="Normal 7 8 2 5 4 3" xfId="20661" xr:uid="{00000000-0005-0000-0000-00005C6B0000}"/>
    <cellStyle name="Normal 7 8 2 5 4 4" xfId="21058" xr:uid="{00000000-0005-0000-0000-00005D6B0000}"/>
    <cellStyle name="Normal 7 8 2 5 4 5" xfId="21668" xr:uid="{00000000-0005-0000-0000-00005E6B0000}"/>
    <cellStyle name="Normal 7 8 2 5 4 6" xfId="22350" xr:uid="{00000000-0005-0000-0000-00005F6B0000}"/>
    <cellStyle name="Normal 7 8 2 5 4 7" xfId="21751" xr:uid="{00000000-0005-0000-0000-0000606B0000}"/>
    <cellStyle name="Normal 7 8 2 5 4 8" xfId="23770" xr:uid="{00000000-0005-0000-0000-0000616B0000}"/>
    <cellStyle name="Normal 7 8 2 5 4 9" xfId="24807" xr:uid="{00000000-0005-0000-0000-0000626B0000}"/>
    <cellStyle name="Normal 7 8 2 5 5" xfId="19374" xr:uid="{00000000-0005-0000-0000-0000636B0000}"/>
    <cellStyle name="Normal 7 8 2 6" xfId="18459" xr:uid="{00000000-0005-0000-0000-0000646B0000}"/>
    <cellStyle name="Normal 7 8 2 6 2" xfId="18594" xr:uid="{00000000-0005-0000-0000-0000656B0000}"/>
    <cellStyle name="Normal 7 8 2 6 2 2" xfId="18856" xr:uid="{00000000-0005-0000-0000-0000666B0000}"/>
    <cellStyle name="Normal 7 8 2 6 2 2 10" xfId="25301" xr:uid="{00000000-0005-0000-0000-0000676B0000}"/>
    <cellStyle name="Normal 7 8 2 6 2 2 11" xfId="24502" xr:uid="{00000000-0005-0000-0000-0000686B0000}"/>
    <cellStyle name="Normal 7 8 2 6 2 2 12" xfId="24868" xr:uid="{00000000-0005-0000-0000-0000696B0000}"/>
    <cellStyle name="Normal 7 8 2 6 2 2 13" xfId="27062" xr:uid="{00000000-0005-0000-0000-00006A6B0000}"/>
    <cellStyle name="Normal 7 8 2 6 2 2 2" xfId="20373" xr:uid="{00000000-0005-0000-0000-00006B6B0000}"/>
    <cellStyle name="Normal 7 8 2 6 2 2 3" xfId="20791" xr:uid="{00000000-0005-0000-0000-00006C6B0000}"/>
    <cellStyle name="Normal 7 8 2 6 2 2 4" xfId="19961" xr:uid="{00000000-0005-0000-0000-00006D6B0000}"/>
    <cellStyle name="Normal 7 8 2 6 2 2 5" xfId="20959" xr:uid="{00000000-0005-0000-0000-00006E6B0000}"/>
    <cellStyle name="Normal 7 8 2 6 2 2 6" xfId="21542" xr:uid="{00000000-0005-0000-0000-00006F6B0000}"/>
    <cellStyle name="Normal 7 8 2 6 2 2 7" xfId="23595" xr:uid="{00000000-0005-0000-0000-0000706B0000}"/>
    <cellStyle name="Normal 7 8 2 6 2 2 8" xfId="22910" xr:uid="{00000000-0005-0000-0000-0000716B0000}"/>
    <cellStyle name="Normal 7 8 2 6 2 2 9" xfId="23446" xr:uid="{00000000-0005-0000-0000-0000726B0000}"/>
    <cellStyle name="Normal 7 8 2 6 2 3" xfId="19247" xr:uid="{00000000-0005-0000-0000-0000736B0000}"/>
    <cellStyle name="Normal 7 8 2 6 3" xfId="18855" xr:uid="{00000000-0005-0000-0000-0000746B0000}"/>
    <cellStyle name="Normal 7 8 2 6 3 10" xfId="21889" xr:uid="{00000000-0005-0000-0000-0000756B0000}"/>
    <cellStyle name="Normal 7 8 2 6 3 11" xfId="24841" xr:uid="{00000000-0005-0000-0000-0000766B0000}"/>
    <cellStyle name="Normal 7 8 2 6 3 12" xfId="25034" xr:uid="{00000000-0005-0000-0000-0000776B0000}"/>
    <cellStyle name="Normal 7 8 2 6 3 13" xfId="24362" xr:uid="{00000000-0005-0000-0000-0000786B0000}"/>
    <cellStyle name="Normal 7 8 2 6 3 2" xfId="20372" xr:uid="{00000000-0005-0000-0000-0000796B0000}"/>
    <cellStyle name="Normal 7 8 2 6 3 3" xfId="19117" xr:uid="{00000000-0005-0000-0000-00007A6B0000}"/>
    <cellStyle name="Normal 7 8 2 6 3 4" xfId="21212" xr:uid="{00000000-0005-0000-0000-00007B6B0000}"/>
    <cellStyle name="Normal 7 8 2 6 3 5" xfId="21844" xr:uid="{00000000-0005-0000-0000-00007C6B0000}"/>
    <cellStyle name="Normal 7 8 2 6 3 6" xfId="22529" xr:uid="{00000000-0005-0000-0000-00007D6B0000}"/>
    <cellStyle name="Normal 7 8 2 6 3 7" xfId="23229" xr:uid="{00000000-0005-0000-0000-00007E6B0000}"/>
    <cellStyle name="Normal 7 8 2 6 3 8" xfId="23948" xr:uid="{00000000-0005-0000-0000-00007F6B0000}"/>
    <cellStyle name="Normal 7 8 2 6 3 9" xfId="24806" xr:uid="{00000000-0005-0000-0000-0000806B0000}"/>
    <cellStyle name="Normal 7 8 2 6 4" xfId="19571" xr:uid="{00000000-0005-0000-0000-0000816B0000}"/>
    <cellStyle name="Normal 7 8 2 7" xfId="18579" xr:uid="{00000000-0005-0000-0000-0000826B0000}"/>
    <cellStyle name="Normal 7 8 2 7 2" xfId="18857" xr:uid="{00000000-0005-0000-0000-0000836B0000}"/>
    <cellStyle name="Normal 7 8 2 7 2 10" xfId="25623" xr:uid="{00000000-0005-0000-0000-0000846B0000}"/>
    <cellStyle name="Normal 7 8 2 7 2 11" xfId="22542" xr:uid="{00000000-0005-0000-0000-0000856B0000}"/>
    <cellStyle name="Normal 7 8 2 7 2 12" xfId="26536" xr:uid="{00000000-0005-0000-0000-0000866B0000}"/>
    <cellStyle name="Normal 7 8 2 7 2 13" xfId="26774" xr:uid="{00000000-0005-0000-0000-0000876B0000}"/>
    <cellStyle name="Normal 7 8 2 7 2 2" xfId="20374" xr:uid="{00000000-0005-0000-0000-0000886B0000}"/>
    <cellStyle name="Normal 7 8 2 7 2 3" xfId="20532" xr:uid="{00000000-0005-0000-0000-0000896B0000}"/>
    <cellStyle name="Normal 7 8 2 7 2 4" xfId="21210" xr:uid="{00000000-0005-0000-0000-00008A6B0000}"/>
    <cellStyle name="Normal 7 8 2 7 2 5" xfId="21842" xr:uid="{00000000-0005-0000-0000-00008B6B0000}"/>
    <cellStyle name="Normal 7 8 2 7 2 6" xfId="22527" xr:uid="{00000000-0005-0000-0000-00008C6B0000}"/>
    <cellStyle name="Normal 7 8 2 7 2 7" xfId="22757" xr:uid="{00000000-0005-0000-0000-00008D6B0000}"/>
    <cellStyle name="Normal 7 8 2 7 2 8" xfId="23946" xr:uid="{00000000-0005-0000-0000-00008E6B0000}"/>
    <cellStyle name="Normal 7 8 2 7 2 9" xfId="23497" xr:uid="{00000000-0005-0000-0000-00008F6B0000}"/>
    <cellStyle name="Normal 7 8 2 7 3" xfId="19572" xr:uid="{00000000-0005-0000-0000-0000906B0000}"/>
    <cellStyle name="Normal 7 8 2 8" xfId="18826" xr:uid="{00000000-0005-0000-0000-0000916B0000}"/>
    <cellStyle name="Normal 7 8 2 8 10" xfId="22203" xr:uid="{00000000-0005-0000-0000-0000926B0000}"/>
    <cellStyle name="Normal 7 8 2 8 11" xfId="25903" xr:uid="{00000000-0005-0000-0000-0000936B0000}"/>
    <cellStyle name="Normal 7 8 2 8 12" xfId="26301" xr:uid="{00000000-0005-0000-0000-0000946B0000}"/>
    <cellStyle name="Normal 7 8 2 8 13" xfId="23655" xr:uid="{00000000-0005-0000-0000-0000956B0000}"/>
    <cellStyle name="Normal 7 8 2 8 2" xfId="20343" xr:uid="{00000000-0005-0000-0000-0000966B0000}"/>
    <cellStyle name="Normal 7 8 2 8 3" xfId="19715" xr:uid="{00000000-0005-0000-0000-0000976B0000}"/>
    <cellStyle name="Normal 7 8 2 8 4" xfId="21346" xr:uid="{00000000-0005-0000-0000-0000986B0000}"/>
    <cellStyle name="Normal 7 8 2 8 5" xfId="22008" xr:uid="{00000000-0005-0000-0000-0000996B0000}"/>
    <cellStyle name="Normal 7 8 2 8 6" xfId="22697" xr:uid="{00000000-0005-0000-0000-00009A6B0000}"/>
    <cellStyle name="Normal 7 8 2 8 7" xfId="22405" xr:uid="{00000000-0005-0000-0000-00009B6B0000}"/>
    <cellStyle name="Normal 7 8 2 8 8" xfId="24117" xr:uid="{00000000-0005-0000-0000-00009C6B0000}"/>
    <cellStyle name="Normal 7 8 2 8 9" xfId="23092" xr:uid="{00000000-0005-0000-0000-00009D6B0000}"/>
    <cellStyle name="Normal 7 8 2 9" xfId="19381" xr:uid="{00000000-0005-0000-0000-00009E6B0000}"/>
    <cellStyle name="Normal 7 8 2_Fordelinger" xfId="18281" xr:uid="{00000000-0005-0000-0000-00009F6B0000}"/>
    <cellStyle name="Normal 7 8 3" xfId="18203" xr:uid="{00000000-0005-0000-0000-0000A06B0000}"/>
    <cellStyle name="Normal 7 8 3 2" xfId="18283" xr:uid="{00000000-0005-0000-0000-0000A16B0000}"/>
    <cellStyle name="Normal 7 8 3 2 2" xfId="18468" xr:uid="{00000000-0005-0000-0000-0000A26B0000}"/>
    <cellStyle name="Normal 7 8 3 2 2 2" xfId="18597" xr:uid="{00000000-0005-0000-0000-0000A36B0000}"/>
    <cellStyle name="Normal 7 8 3 2 2 2 2" xfId="18861" xr:uid="{00000000-0005-0000-0000-0000A46B0000}"/>
    <cellStyle name="Normal 7 8 3 2 2 2 2 10" xfId="23980" xr:uid="{00000000-0005-0000-0000-0000A56B0000}"/>
    <cellStyle name="Normal 7 8 3 2 2 2 2 11" xfId="24667" xr:uid="{00000000-0005-0000-0000-0000A66B0000}"/>
    <cellStyle name="Normal 7 8 3 2 2 2 2 12" xfId="26535" xr:uid="{00000000-0005-0000-0000-0000A76B0000}"/>
    <cellStyle name="Normal 7 8 3 2 2 2 2 13" xfId="26871" xr:uid="{00000000-0005-0000-0000-0000A86B0000}"/>
    <cellStyle name="Normal 7 8 3 2 2 2 2 2" xfId="20378" xr:uid="{00000000-0005-0000-0000-0000A96B0000}"/>
    <cellStyle name="Normal 7 8 3 2 2 2 2 3" xfId="19702" xr:uid="{00000000-0005-0000-0000-0000AA6B0000}"/>
    <cellStyle name="Normal 7 8 3 2 2 2 2 4" xfId="19338" xr:uid="{00000000-0005-0000-0000-0000AB6B0000}"/>
    <cellStyle name="Normal 7 8 3 2 2 2 2 5" xfId="20961" xr:uid="{00000000-0005-0000-0000-0000AC6B0000}"/>
    <cellStyle name="Normal 7 8 3 2 2 2 2 6" xfId="21544" xr:uid="{00000000-0005-0000-0000-0000AD6B0000}"/>
    <cellStyle name="Normal 7 8 3 2 2 2 2 7" xfId="23043" xr:uid="{00000000-0005-0000-0000-0000AE6B0000}"/>
    <cellStyle name="Normal 7 8 3 2 2 2 2 8" xfId="21753" xr:uid="{00000000-0005-0000-0000-0000AF6B0000}"/>
    <cellStyle name="Normal 7 8 3 2 2 2 2 9" xfId="22241" xr:uid="{00000000-0005-0000-0000-0000B06B0000}"/>
    <cellStyle name="Normal 7 8 3 2 2 2 3" xfId="19244" xr:uid="{00000000-0005-0000-0000-0000B16B0000}"/>
    <cellStyle name="Normal 7 8 3 2 2 3" xfId="18860" xr:uid="{00000000-0005-0000-0000-0000B26B0000}"/>
    <cellStyle name="Normal 7 8 3 2 2 3 10" xfId="21000" xr:uid="{00000000-0005-0000-0000-0000B36B0000}"/>
    <cellStyle name="Normal 7 8 3 2 2 3 11" xfId="24503" xr:uid="{00000000-0005-0000-0000-0000B46B0000}"/>
    <cellStyle name="Normal 7 8 3 2 2 3 12" xfId="26306" xr:uid="{00000000-0005-0000-0000-0000B56B0000}"/>
    <cellStyle name="Normal 7 8 3 2 2 3 13" xfId="26967" xr:uid="{00000000-0005-0000-0000-0000B66B0000}"/>
    <cellStyle name="Normal 7 8 3 2 2 3 2" xfId="20377" xr:uid="{00000000-0005-0000-0000-0000B76B0000}"/>
    <cellStyle name="Normal 7 8 3 2 2 3 3" xfId="20790" xr:uid="{00000000-0005-0000-0000-0000B86B0000}"/>
    <cellStyle name="Normal 7 8 3 2 2 3 4" xfId="20708" xr:uid="{00000000-0005-0000-0000-0000B96B0000}"/>
    <cellStyle name="Normal 7 8 3 2 2 3 5" xfId="20428" xr:uid="{00000000-0005-0000-0000-0000BA6B0000}"/>
    <cellStyle name="Normal 7 8 3 2 2 3 6" xfId="19172" xr:uid="{00000000-0005-0000-0000-0000BB6B0000}"/>
    <cellStyle name="Normal 7 8 3 2 2 3 7" xfId="23415" xr:uid="{00000000-0005-0000-0000-0000BC6B0000}"/>
    <cellStyle name="Normal 7 8 3 2 2 3 8" xfId="22909" xr:uid="{00000000-0005-0000-0000-0000BD6B0000}"/>
    <cellStyle name="Normal 7 8 3 2 2 3 9" xfId="24463" xr:uid="{00000000-0005-0000-0000-0000BE6B0000}"/>
    <cellStyle name="Normal 7 8 3 2 2 4" xfId="19155" xr:uid="{00000000-0005-0000-0000-0000BF6B0000}"/>
    <cellStyle name="Normal 7 8 3 2 3" xfId="18596" xr:uid="{00000000-0005-0000-0000-0000C06B0000}"/>
    <cellStyle name="Normal 7 8 3 2 3 2" xfId="18862" xr:uid="{00000000-0005-0000-0000-0000C16B0000}"/>
    <cellStyle name="Normal 7 8 3 2 3 2 10" xfId="25136" xr:uid="{00000000-0005-0000-0000-0000C26B0000}"/>
    <cellStyle name="Normal 7 8 3 2 3 2 11" xfId="24332" xr:uid="{00000000-0005-0000-0000-0000C36B0000}"/>
    <cellStyle name="Normal 7 8 3 2 3 2 12" xfId="24886" xr:uid="{00000000-0005-0000-0000-0000C46B0000}"/>
    <cellStyle name="Normal 7 8 3 2 3 2 13" xfId="26430" xr:uid="{00000000-0005-0000-0000-0000C56B0000}"/>
    <cellStyle name="Normal 7 8 3 2 3 2 2" xfId="20379" xr:uid="{00000000-0005-0000-0000-0000C66B0000}"/>
    <cellStyle name="Normal 7 8 3 2 3 2 3" xfId="19701" xr:uid="{00000000-0005-0000-0000-0000C76B0000}"/>
    <cellStyle name="Normal 7 8 3 2 3 2 4" xfId="21353" xr:uid="{00000000-0005-0000-0000-0000C86B0000}"/>
    <cellStyle name="Normal 7 8 3 2 3 2 5" xfId="22015" xr:uid="{00000000-0005-0000-0000-0000C96B0000}"/>
    <cellStyle name="Normal 7 8 3 2 3 2 6" xfId="22704" xr:uid="{00000000-0005-0000-0000-0000CA6B0000}"/>
    <cellStyle name="Normal 7 8 3 2 3 2 7" xfId="20483" xr:uid="{00000000-0005-0000-0000-0000CB6B0000}"/>
    <cellStyle name="Normal 7 8 3 2 3 2 8" xfId="24124" xr:uid="{00000000-0005-0000-0000-0000CC6B0000}"/>
    <cellStyle name="Normal 7 8 3 2 3 2 9" xfId="24639" xr:uid="{00000000-0005-0000-0000-0000CD6B0000}"/>
    <cellStyle name="Normal 7 8 3 2 3 3" xfId="19569" xr:uid="{00000000-0005-0000-0000-0000CE6B0000}"/>
    <cellStyle name="Normal 7 8 3 2 4" xfId="18859" xr:uid="{00000000-0005-0000-0000-0000CF6B0000}"/>
    <cellStyle name="Normal 7 8 3 2 4 10" xfId="24678" xr:uid="{00000000-0005-0000-0000-0000D06B0000}"/>
    <cellStyle name="Normal 7 8 3 2 4 11" xfId="21296" xr:uid="{00000000-0005-0000-0000-0000D16B0000}"/>
    <cellStyle name="Normal 7 8 3 2 4 12" xfId="24870" xr:uid="{00000000-0005-0000-0000-0000D26B0000}"/>
    <cellStyle name="Normal 7 8 3 2 4 13" xfId="22029" xr:uid="{00000000-0005-0000-0000-0000D36B0000}"/>
    <cellStyle name="Normal 7 8 3 2 4 2" xfId="20376" xr:uid="{00000000-0005-0000-0000-0000D46B0000}"/>
    <cellStyle name="Normal 7 8 3 2 4 3" xfId="20533" xr:uid="{00000000-0005-0000-0000-0000D56B0000}"/>
    <cellStyle name="Normal 7 8 3 2 4 4" xfId="19962" xr:uid="{00000000-0005-0000-0000-0000D66B0000}"/>
    <cellStyle name="Normal 7 8 3 2 4 5" xfId="21409" xr:uid="{00000000-0005-0000-0000-0000D76B0000}"/>
    <cellStyle name="Normal 7 8 3 2 4 6" xfId="22069" xr:uid="{00000000-0005-0000-0000-0000D86B0000}"/>
    <cellStyle name="Normal 7 8 3 2 4 7" xfId="22229" xr:uid="{00000000-0005-0000-0000-0000D96B0000}"/>
    <cellStyle name="Normal 7 8 3 2 4 8" xfId="22435" xr:uid="{00000000-0005-0000-0000-0000DA6B0000}"/>
    <cellStyle name="Normal 7 8 3 2 4 9" xfId="24978" xr:uid="{00000000-0005-0000-0000-0000DB6B0000}"/>
    <cellStyle name="Normal 7 8 3 2 5" xfId="18892" xr:uid="{00000000-0005-0000-0000-0000DC6B0000}"/>
    <cellStyle name="Normal 7 8 3 3" xfId="18284" xr:uid="{00000000-0005-0000-0000-0000DD6B0000}"/>
    <cellStyle name="Normal 7 8 3 3 2" xfId="18469" xr:uid="{00000000-0005-0000-0000-0000DE6B0000}"/>
    <cellStyle name="Normal 7 8 3 3 2 2" xfId="18599" xr:uid="{00000000-0005-0000-0000-0000DF6B0000}"/>
    <cellStyle name="Normal 7 8 3 3 2 2 2" xfId="18865" xr:uid="{00000000-0005-0000-0000-0000E06B0000}"/>
    <cellStyle name="Normal 7 8 3 3 2 2 2 10" xfId="23248" xr:uid="{00000000-0005-0000-0000-0000E16B0000}"/>
    <cellStyle name="Normal 7 8 3 3 2 2 2 11" xfId="23090" xr:uid="{00000000-0005-0000-0000-0000E26B0000}"/>
    <cellStyle name="Normal 7 8 3 3 2 2 2 12" xfId="26650" xr:uid="{00000000-0005-0000-0000-0000E36B0000}"/>
    <cellStyle name="Normal 7 8 3 3 2 2 2 13" xfId="26208" xr:uid="{00000000-0005-0000-0000-0000E46B0000}"/>
    <cellStyle name="Normal 7 8 3 3 2 2 2 2" xfId="20382" xr:uid="{00000000-0005-0000-0000-0000E56B0000}"/>
    <cellStyle name="Normal 7 8 3 3 2 2 2 3" xfId="20534" xr:uid="{00000000-0005-0000-0000-0000E66B0000}"/>
    <cellStyle name="Normal 7 8 3 3 2 2 2 4" xfId="21060" xr:uid="{00000000-0005-0000-0000-0000E76B0000}"/>
    <cellStyle name="Normal 7 8 3 3 2 2 2 5" xfId="21670" xr:uid="{00000000-0005-0000-0000-0000E86B0000}"/>
    <cellStyle name="Normal 7 8 3 3 2 2 2 6" xfId="22352" xr:uid="{00000000-0005-0000-0000-0000E96B0000}"/>
    <cellStyle name="Normal 7 8 3 3 2 2 2 7" xfId="20937" xr:uid="{00000000-0005-0000-0000-0000EA6B0000}"/>
    <cellStyle name="Normal 7 8 3 3 2 2 2 8" xfId="23772" xr:uid="{00000000-0005-0000-0000-0000EB6B0000}"/>
    <cellStyle name="Normal 7 8 3 3 2 2 2 9" xfId="23820" xr:uid="{00000000-0005-0000-0000-0000EC6B0000}"/>
    <cellStyle name="Normal 7 8 3 3 2 2 3" xfId="18965" xr:uid="{00000000-0005-0000-0000-0000ED6B0000}"/>
    <cellStyle name="Normal 7 8 3 3 2 3" xfId="18864" xr:uid="{00000000-0005-0000-0000-0000EE6B0000}"/>
    <cellStyle name="Normal 7 8 3 3 2 3 10" xfId="24337" xr:uid="{00000000-0005-0000-0000-0000EF6B0000}"/>
    <cellStyle name="Normal 7 8 3 3 2 3 11" xfId="24850" xr:uid="{00000000-0005-0000-0000-0000F06B0000}"/>
    <cellStyle name="Normal 7 8 3 3 2 3 12" xfId="24659" xr:uid="{00000000-0005-0000-0000-0000F16B0000}"/>
    <cellStyle name="Normal 7 8 3 3 2 3 13" xfId="27059" xr:uid="{00000000-0005-0000-0000-0000F26B0000}"/>
    <cellStyle name="Normal 7 8 3 3 2 3 2" xfId="20381" xr:uid="{00000000-0005-0000-0000-0000F36B0000}"/>
    <cellStyle name="Normal 7 8 3 3 2 3 3" xfId="20919" xr:uid="{00000000-0005-0000-0000-0000F46B0000}"/>
    <cellStyle name="Normal 7 8 3 3 2 3 4" xfId="20453" xr:uid="{00000000-0005-0000-0000-0000F56B0000}"/>
    <cellStyle name="Normal 7 8 3 3 2 3 5" xfId="20032" xr:uid="{00000000-0005-0000-0000-0000F66B0000}"/>
    <cellStyle name="Normal 7 8 3 3 2 3 6" xfId="19531" xr:uid="{00000000-0005-0000-0000-0000F76B0000}"/>
    <cellStyle name="Normal 7 8 3 3 2 3 7" xfId="23414" xr:uid="{00000000-0005-0000-0000-0000F86B0000}"/>
    <cellStyle name="Normal 7 8 3 3 2 3 8" xfId="23471" xr:uid="{00000000-0005-0000-0000-0000F96B0000}"/>
    <cellStyle name="Normal 7 8 3 3 2 3 9" xfId="24174" xr:uid="{00000000-0005-0000-0000-0000FA6B0000}"/>
    <cellStyle name="Normal 7 8 3 3 2 4" xfId="19570" xr:uid="{00000000-0005-0000-0000-0000FB6B0000}"/>
    <cellStyle name="Normal 7 8 3 3 3" xfId="18598" xr:uid="{00000000-0005-0000-0000-0000FC6B0000}"/>
    <cellStyle name="Normal 7 8 3 3 3 2" xfId="18866" xr:uid="{00000000-0005-0000-0000-0000FD6B0000}"/>
    <cellStyle name="Normal 7 8 3 3 3 2 10" xfId="23847" xr:uid="{00000000-0005-0000-0000-0000FE6B0000}"/>
    <cellStyle name="Normal 7 8 3 3 3 2 11" xfId="25012" xr:uid="{00000000-0005-0000-0000-0000FF6B0000}"/>
    <cellStyle name="Normal 7 8 3 3 3 2 12" xfId="26307" xr:uid="{00000000-0005-0000-0000-0000006C0000}"/>
    <cellStyle name="Normal 7 8 3 3 3 2 13" xfId="24137" xr:uid="{00000000-0005-0000-0000-0000016C0000}"/>
    <cellStyle name="Normal 7 8 3 3 3 2 2" xfId="20383" xr:uid="{00000000-0005-0000-0000-0000026C0000}"/>
    <cellStyle name="Normal 7 8 3 3 3 2 3" xfId="19700" xr:uid="{00000000-0005-0000-0000-0000036C0000}"/>
    <cellStyle name="Normal 7 8 3 3 3 2 4" xfId="21352" xr:uid="{00000000-0005-0000-0000-0000046C0000}"/>
    <cellStyle name="Normal 7 8 3 3 3 2 5" xfId="22014" xr:uid="{00000000-0005-0000-0000-0000056C0000}"/>
    <cellStyle name="Normal 7 8 3 3 3 2 6" xfId="22703" xr:uid="{00000000-0005-0000-0000-0000066C0000}"/>
    <cellStyle name="Normal 7 8 3 3 3 2 7" xfId="21267" xr:uid="{00000000-0005-0000-0000-0000076C0000}"/>
    <cellStyle name="Normal 7 8 3 3 3 2 8" xfId="24123" xr:uid="{00000000-0005-0000-0000-0000086C0000}"/>
    <cellStyle name="Normal 7 8 3 3 3 2 9" xfId="23647" xr:uid="{00000000-0005-0000-0000-0000096C0000}"/>
    <cellStyle name="Normal 7 8 3 3 3 3" xfId="19371" xr:uid="{00000000-0005-0000-0000-00000A6C0000}"/>
    <cellStyle name="Normal 7 8 3 3 4" xfId="18863" xr:uid="{00000000-0005-0000-0000-00000B6C0000}"/>
    <cellStyle name="Normal 7 8 3 3 4 10" xfId="25459" xr:uid="{00000000-0005-0000-0000-00000C6C0000}"/>
    <cellStyle name="Normal 7 8 3 3 4 11" xfId="24330" xr:uid="{00000000-0005-0000-0000-00000D6C0000}"/>
    <cellStyle name="Normal 7 8 3 3 4 12" xfId="25205" xr:uid="{00000000-0005-0000-0000-00000E6C0000}"/>
    <cellStyle name="Normal 7 8 3 3 4 13" xfId="26869" xr:uid="{00000000-0005-0000-0000-00000F6C0000}"/>
    <cellStyle name="Normal 7 8 3 3 4 2" xfId="20380" xr:uid="{00000000-0005-0000-0000-0000106C0000}"/>
    <cellStyle name="Normal 7 8 3 3 4 3" xfId="19645" xr:uid="{00000000-0005-0000-0000-0000116C0000}"/>
    <cellStyle name="Normal 7 8 3 3 4 4" xfId="21059" xr:uid="{00000000-0005-0000-0000-0000126C0000}"/>
    <cellStyle name="Normal 7 8 3 3 4 5" xfId="21669" xr:uid="{00000000-0005-0000-0000-0000136C0000}"/>
    <cellStyle name="Normal 7 8 3 3 4 6" xfId="22351" xr:uid="{00000000-0005-0000-0000-0000146C0000}"/>
    <cellStyle name="Normal 7 8 3 3 4 7" xfId="23044" xr:uid="{00000000-0005-0000-0000-0000156C0000}"/>
    <cellStyle name="Normal 7 8 3 3 4 8" xfId="23771" xr:uid="{00000000-0005-0000-0000-0000166C0000}"/>
    <cellStyle name="Normal 7 8 3 3 4 9" xfId="24979" xr:uid="{00000000-0005-0000-0000-0000176C0000}"/>
    <cellStyle name="Normal 7 8 3 3 5" xfId="19245" xr:uid="{00000000-0005-0000-0000-0000186C0000}"/>
    <cellStyle name="Normal 7 8 3 4" xfId="18282" xr:uid="{00000000-0005-0000-0000-0000196C0000}"/>
    <cellStyle name="Normal 7 8 3 4 2" xfId="18470" xr:uid="{00000000-0005-0000-0000-00001A6C0000}"/>
    <cellStyle name="Normal 7 8 3 4 2 2" xfId="18601" xr:uid="{00000000-0005-0000-0000-00001B6C0000}"/>
    <cellStyle name="Normal 7 8 3 4 2 2 2" xfId="18869" xr:uid="{00000000-0005-0000-0000-00001C6C0000}"/>
    <cellStyle name="Normal 7 8 3 4 2 2 2 10" xfId="22939" xr:uid="{00000000-0005-0000-0000-00001D6C0000}"/>
    <cellStyle name="Normal 7 8 3 4 2 2 2 11" xfId="25139" xr:uid="{00000000-0005-0000-0000-00001E6C0000}"/>
    <cellStyle name="Normal 7 8 3 4 2 2 2 12" xfId="26651" xr:uid="{00000000-0005-0000-0000-00001F6C0000}"/>
    <cellStyle name="Normal 7 8 3 4 2 2 2 13" xfId="26775" xr:uid="{00000000-0005-0000-0000-0000206C0000}"/>
    <cellStyle name="Normal 7 8 3 4 2 2 2 2" xfId="20386" xr:uid="{00000000-0005-0000-0000-0000216C0000}"/>
    <cellStyle name="Normal 7 8 3 4 2 2 2 3" xfId="19699" xr:uid="{00000000-0005-0000-0000-0000226C0000}"/>
    <cellStyle name="Normal 7 8 3 4 2 2 2 4" xfId="20454" xr:uid="{00000000-0005-0000-0000-0000236C0000}"/>
    <cellStyle name="Normal 7 8 3 4 2 2 2 5" xfId="21010" xr:uid="{00000000-0005-0000-0000-0000246C0000}"/>
    <cellStyle name="Normal 7 8 3 4 2 2 2 6" xfId="21596" xr:uid="{00000000-0005-0000-0000-0000256C0000}"/>
    <cellStyle name="Normal 7 8 3 4 2 2 2 7" xfId="23045" xr:uid="{00000000-0005-0000-0000-0000266C0000}"/>
    <cellStyle name="Normal 7 8 3 4 2 2 2 8" xfId="22574" xr:uid="{00000000-0005-0000-0000-0000276C0000}"/>
    <cellStyle name="Normal 7 8 3 4 2 2 2 9" xfId="24808" xr:uid="{00000000-0005-0000-0000-0000286C0000}"/>
    <cellStyle name="Normal 7 8 3 4 2 2 3" xfId="19242" xr:uid="{00000000-0005-0000-0000-0000296C0000}"/>
    <cellStyle name="Normal 7 8 3 4 2 3" xfId="18868" xr:uid="{00000000-0005-0000-0000-00002A6C0000}"/>
    <cellStyle name="Normal 7 8 3 4 2 3 10" xfId="23313" xr:uid="{00000000-0005-0000-0000-00002B6C0000}"/>
    <cellStyle name="Normal 7 8 3 4 2 3 11" xfId="25022" xr:uid="{00000000-0005-0000-0000-00002C6C0000}"/>
    <cellStyle name="Normal 7 8 3 4 2 3 12" xfId="26422" xr:uid="{00000000-0005-0000-0000-00002D6C0000}"/>
    <cellStyle name="Normal 7 8 3 4 2 3 13" xfId="26969" xr:uid="{00000000-0005-0000-0000-00002E6C0000}"/>
    <cellStyle name="Normal 7 8 3 4 2 3 2" xfId="20385" xr:uid="{00000000-0005-0000-0000-00002F6C0000}"/>
    <cellStyle name="Normal 7 8 3 4 2 3 3" xfId="20920" xr:uid="{00000000-0005-0000-0000-0000306C0000}"/>
    <cellStyle name="Normal 7 8 3 4 2 3 4" xfId="20452" xr:uid="{00000000-0005-0000-0000-0000316C0000}"/>
    <cellStyle name="Normal 7 8 3 4 2 3 5" xfId="20858" xr:uid="{00000000-0005-0000-0000-0000326C0000}"/>
    <cellStyle name="Normal 7 8 3 4 2 3 6" xfId="19924" xr:uid="{00000000-0005-0000-0000-0000336C0000}"/>
    <cellStyle name="Normal 7 8 3 4 2 3 7" xfId="23599" xr:uid="{00000000-0005-0000-0000-0000346C0000}"/>
    <cellStyle name="Normal 7 8 3 4 2 3 8" xfId="19930" xr:uid="{00000000-0005-0000-0000-0000356C0000}"/>
    <cellStyle name="Normal 7 8 3 4 2 3 9" xfId="24464" xr:uid="{00000000-0005-0000-0000-0000366C0000}"/>
    <cellStyle name="Normal 7 8 3 4 2 4" xfId="19370" xr:uid="{00000000-0005-0000-0000-0000376C0000}"/>
    <cellStyle name="Normal 7 8 3 4 3" xfId="18600" xr:uid="{00000000-0005-0000-0000-0000386C0000}"/>
    <cellStyle name="Normal 7 8 3 4 3 2" xfId="18870" xr:uid="{00000000-0005-0000-0000-0000396C0000}"/>
    <cellStyle name="Normal 7 8 3 4 3 2 10" xfId="24170" xr:uid="{00000000-0005-0000-0000-00003A6C0000}"/>
    <cellStyle name="Normal 7 8 3 4 3 2 11" xfId="25193" xr:uid="{00000000-0005-0000-0000-00003B6C0000}"/>
    <cellStyle name="Normal 7 8 3 4 3 2 12" xfId="25525" xr:uid="{00000000-0005-0000-0000-00003C6C0000}"/>
    <cellStyle name="Normal 7 8 3 4 3 2 13" xfId="26207" xr:uid="{00000000-0005-0000-0000-00003D6C0000}"/>
    <cellStyle name="Normal 7 8 3 4 3 2 2" xfId="20387" xr:uid="{00000000-0005-0000-0000-00003E6C0000}"/>
    <cellStyle name="Normal 7 8 3 4 3 2 3" xfId="19698" xr:uid="{00000000-0005-0000-0000-00003F6C0000}"/>
    <cellStyle name="Normal 7 8 3 4 3 2 4" xfId="21504" xr:uid="{00000000-0005-0000-0000-0000406C0000}"/>
    <cellStyle name="Normal 7 8 3 4 3 2 5" xfId="22190" xr:uid="{00000000-0005-0000-0000-0000416C0000}"/>
    <cellStyle name="Normal 7 8 3 4 3 2 6" xfId="22876" xr:uid="{00000000-0005-0000-0000-0000426C0000}"/>
    <cellStyle name="Normal 7 8 3 4 3 2 7" xfId="21750" xr:uid="{00000000-0005-0000-0000-0000436C0000}"/>
    <cellStyle name="Normal 7 8 3 4 3 2 8" xfId="24305" xr:uid="{00000000-0005-0000-0000-0000446C0000}"/>
    <cellStyle name="Normal 7 8 3 4 3 2 9" xfId="20610" xr:uid="{00000000-0005-0000-0000-0000456C0000}"/>
    <cellStyle name="Normal 7 8 3 4 3 3" xfId="19567" xr:uid="{00000000-0005-0000-0000-0000466C0000}"/>
    <cellStyle name="Normal 7 8 3 4 4" xfId="18867" xr:uid="{00000000-0005-0000-0000-0000476C0000}"/>
    <cellStyle name="Normal 7 8 3 4 4 10" xfId="23622" xr:uid="{00000000-0005-0000-0000-0000486C0000}"/>
    <cellStyle name="Normal 7 8 3 4 4 11" xfId="25054" xr:uid="{00000000-0005-0000-0000-0000496C0000}"/>
    <cellStyle name="Normal 7 8 3 4 4 12" xfId="25528" xr:uid="{00000000-0005-0000-0000-00004A6C0000}"/>
    <cellStyle name="Normal 7 8 3 4 4 13" xfId="21907" xr:uid="{00000000-0005-0000-0000-00004B6C0000}"/>
    <cellStyle name="Normal 7 8 3 4 4 2" xfId="20384" xr:uid="{00000000-0005-0000-0000-00004C6C0000}"/>
    <cellStyle name="Normal 7 8 3 4 4 3" xfId="20665" xr:uid="{00000000-0005-0000-0000-00004D6C0000}"/>
    <cellStyle name="Normal 7 8 3 4 4 4" xfId="19963" xr:uid="{00000000-0005-0000-0000-00004E6C0000}"/>
    <cellStyle name="Normal 7 8 3 4 4 5" xfId="19632" xr:uid="{00000000-0005-0000-0000-00004F6C0000}"/>
    <cellStyle name="Normal 7 8 3 4 4 6" xfId="20021" xr:uid="{00000000-0005-0000-0000-0000506C0000}"/>
    <cellStyle name="Normal 7 8 3 4 4 7" xfId="22278" xr:uid="{00000000-0005-0000-0000-0000516C0000}"/>
    <cellStyle name="Normal 7 8 3 4 4 8" xfId="21520" xr:uid="{00000000-0005-0000-0000-0000526C0000}"/>
    <cellStyle name="Normal 7 8 3 4 4 9" xfId="23778" xr:uid="{00000000-0005-0000-0000-0000536C0000}"/>
    <cellStyle name="Normal 7 8 3 4 5" xfId="18964" xr:uid="{00000000-0005-0000-0000-0000546C0000}"/>
    <cellStyle name="Normal 7 8 3 5" xfId="18467" xr:uid="{00000000-0005-0000-0000-0000556C0000}"/>
    <cellStyle name="Normal 7 8 3 5 2" xfId="18602" xr:uid="{00000000-0005-0000-0000-0000566C0000}"/>
    <cellStyle name="Normal 7 8 3 5 2 2" xfId="18872" xr:uid="{00000000-0005-0000-0000-0000576C0000}"/>
    <cellStyle name="Normal 7 8 3 5 2 2 10" xfId="21292" xr:uid="{00000000-0005-0000-0000-0000586C0000}"/>
    <cellStyle name="Normal 7 8 3 5 2 2 11" xfId="25002" xr:uid="{00000000-0005-0000-0000-0000596C0000}"/>
    <cellStyle name="Normal 7 8 3 5 2 2 12" xfId="25171" xr:uid="{00000000-0005-0000-0000-00005A6C0000}"/>
    <cellStyle name="Normal 7 8 3 5 2 2 13" xfId="26968" xr:uid="{00000000-0005-0000-0000-00005B6C0000}"/>
    <cellStyle name="Normal 7 8 3 5 2 2 2" xfId="20389" xr:uid="{00000000-0005-0000-0000-00005C6C0000}"/>
    <cellStyle name="Normal 7 8 3 5 2 2 3" xfId="18911" xr:uid="{00000000-0005-0000-0000-00005D6C0000}"/>
    <cellStyle name="Normal 7 8 3 5 2 2 4" xfId="20838" xr:uid="{00000000-0005-0000-0000-00005E6C0000}"/>
    <cellStyle name="Normal 7 8 3 5 2 2 5" xfId="20476" xr:uid="{00000000-0005-0000-0000-00005F6C0000}"/>
    <cellStyle name="Normal 7 8 3 5 2 2 6" xfId="21140" xr:uid="{00000000-0005-0000-0000-0000606C0000}"/>
    <cellStyle name="Normal 7 8 3 5 2 2 7" xfId="23600" xr:uid="{00000000-0005-0000-0000-0000616C0000}"/>
    <cellStyle name="Normal 7 8 3 5 2 2 8" xfId="21519" xr:uid="{00000000-0005-0000-0000-0000626C0000}"/>
    <cellStyle name="Normal 7 8 3 5 2 2 9" xfId="23634" xr:uid="{00000000-0005-0000-0000-0000636C0000}"/>
    <cellStyle name="Normal 7 8 3 5 2 3" xfId="19568" xr:uid="{00000000-0005-0000-0000-0000646C0000}"/>
    <cellStyle name="Normal 7 8 3 5 3" xfId="18871" xr:uid="{00000000-0005-0000-0000-0000656C0000}"/>
    <cellStyle name="Normal 7 8 3 5 3 10" xfId="23258" xr:uid="{00000000-0005-0000-0000-0000666C0000}"/>
    <cellStyle name="Normal 7 8 3 5 3 11" xfId="23625" xr:uid="{00000000-0005-0000-0000-0000676C0000}"/>
    <cellStyle name="Normal 7 8 3 5 3 12" xfId="24506" xr:uid="{00000000-0005-0000-0000-0000686C0000}"/>
    <cellStyle name="Normal 7 8 3 5 3 13" xfId="26776" xr:uid="{00000000-0005-0000-0000-0000696C0000}"/>
    <cellStyle name="Normal 7 8 3 5 3 2" xfId="20388" xr:uid="{00000000-0005-0000-0000-00006A6C0000}"/>
    <cellStyle name="Normal 7 8 3 5 3 3" xfId="19180" xr:uid="{00000000-0005-0000-0000-00006B6C0000}"/>
    <cellStyle name="Normal 7 8 3 5 3 4" xfId="21061" xr:uid="{00000000-0005-0000-0000-00006C6C0000}"/>
    <cellStyle name="Normal 7 8 3 5 3 5" xfId="21671" xr:uid="{00000000-0005-0000-0000-00006D6C0000}"/>
    <cellStyle name="Normal 7 8 3 5 3 6" xfId="22353" xr:uid="{00000000-0005-0000-0000-00006E6C0000}"/>
    <cellStyle name="Normal 7 8 3 5 3 7" xfId="23233" xr:uid="{00000000-0005-0000-0000-00006F6C0000}"/>
    <cellStyle name="Normal 7 8 3 5 3 8" xfId="23773" xr:uid="{00000000-0005-0000-0000-0000706C0000}"/>
    <cellStyle name="Normal 7 8 3 5 3 9" xfId="23277" xr:uid="{00000000-0005-0000-0000-0000716C0000}"/>
    <cellStyle name="Normal 7 8 3 5 4" xfId="19243" xr:uid="{00000000-0005-0000-0000-0000726C0000}"/>
    <cellStyle name="Normal 7 8 3 6" xfId="18595" xr:uid="{00000000-0005-0000-0000-0000736C0000}"/>
    <cellStyle name="Normal 7 8 3 6 2" xfId="18873" xr:uid="{00000000-0005-0000-0000-0000746C0000}"/>
    <cellStyle name="Normal 7 8 3 6 2 10" xfId="23988" xr:uid="{00000000-0005-0000-0000-0000756C0000}"/>
    <cellStyle name="Normal 7 8 3 6 2 11" xfId="24843" xr:uid="{00000000-0005-0000-0000-0000766C0000}"/>
    <cellStyle name="Normal 7 8 3 6 2 12" xfId="25009" xr:uid="{00000000-0005-0000-0000-0000776C0000}"/>
    <cellStyle name="Normal 7 8 3 6 2 13" xfId="26552" xr:uid="{00000000-0005-0000-0000-0000786C0000}"/>
    <cellStyle name="Normal 7 8 3 6 2 2" xfId="20390" xr:uid="{00000000-0005-0000-0000-0000796C0000}"/>
    <cellStyle name="Normal 7 8 3 6 2 3" xfId="20535" xr:uid="{00000000-0005-0000-0000-00007A6C0000}"/>
    <cellStyle name="Normal 7 8 3 6 2 4" xfId="21214" xr:uid="{00000000-0005-0000-0000-00007B6C0000}"/>
    <cellStyle name="Normal 7 8 3 6 2 5" xfId="21846" xr:uid="{00000000-0005-0000-0000-00007C6C0000}"/>
    <cellStyle name="Normal 7 8 3 6 2 6" xfId="22531" xr:uid="{00000000-0005-0000-0000-00007D6C0000}"/>
    <cellStyle name="Normal 7 8 3 6 2 7" xfId="22755" xr:uid="{00000000-0005-0000-0000-00007E6C0000}"/>
    <cellStyle name="Normal 7 8 3 6 2 8" xfId="23950" xr:uid="{00000000-0005-0000-0000-00007F6C0000}"/>
    <cellStyle name="Normal 7 8 3 6 2 9" xfId="23834" xr:uid="{00000000-0005-0000-0000-0000806C0000}"/>
    <cellStyle name="Normal 7 8 3 6 3" xfId="18963" xr:uid="{00000000-0005-0000-0000-0000816C0000}"/>
    <cellStyle name="Normal 7 8 3 7" xfId="18858" xr:uid="{00000000-0005-0000-0000-0000826C0000}"/>
    <cellStyle name="Normal 7 8 3 7 10" xfId="24016" xr:uid="{00000000-0005-0000-0000-0000836C0000}"/>
    <cellStyle name="Normal 7 8 3 7 11" xfId="24206" xr:uid="{00000000-0005-0000-0000-0000846C0000}"/>
    <cellStyle name="Normal 7 8 3 7 12" xfId="26305" xr:uid="{00000000-0005-0000-0000-0000856C0000}"/>
    <cellStyle name="Normal 7 8 3 7 13" xfId="25024" xr:uid="{00000000-0005-0000-0000-0000866C0000}"/>
    <cellStyle name="Normal 7 8 3 7 2" xfId="20375" xr:uid="{00000000-0005-0000-0000-0000876C0000}"/>
    <cellStyle name="Normal 7 8 3 7 3" xfId="19703" xr:uid="{00000000-0005-0000-0000-0000886C0000}"/>
    <cellStyle name="Normal 7 8 3 7 4" xfId="21500" xr:uid="{00000000-0005-0000-0000-0000896C0000}"/>
    <cellStyle name="Normal 7 8 3 7 5" xfId="22186" xr:uid="{00000000-0005-0000-0000-00008A6C0000}"/>
    <cellStyle name="Normal 7 8 3 7 6" xfId="22872" xr:uid="{00000000-0005-0000-0000-00008B6C0000}"/>
    <cellStyle name="Normal 7 8 3 7 7" xfId="20938" xr:uid="{00000000-0005-0000-0000-00008C6C0000}"/>
    <cellStyle name="Normal 7 8 3 7 8" xfId="24301" xr:uid="{00000000-0005-0000-0000-00008D6C0000}"/>
    <cellStyle name="Normal 7 8 3 7 9" xfId="23691" xr:uid="{00000000-0005-0000-0000-00008E6C0000}"/>
    <cellStyle name="Normal 7 8 3 8" xfId="19372" xr:uid="{00000000-0005-0000-0000-00008F6C0000}"/>
    <cellStyle name="Normal 7 8 3_Fordelinger" xfId="18285" xr:uid="{00000000-0005-0000-0000-0000906C0000}"/>
    <cellStyle name="Normal 7 8 4" xfId="18286" xr:uid="{00000000-0005-0000-0000-0000916C0000}"/>
    <cellStyle name="Normal 7 8 4 2" xfId="18471" xr:uid="{00000000-0005-0000-0000-0000926C0000}"/>
    <cellStyle name="Normal 7 8 4 2 2" xfId="18604" xr:uid="{00000000-0005-0000-0000-0000936C0000}"/>
    <cellStyle name="Normal 7 8 4 2 2 2" xfId="18876" xr:uid="{00000000-0005-0000-0000-0000946C0000}"/>
    <cellStyle name="Normal 7 8 4 2 2 2 10" xfId="24347" xr:uid="{00000000-0005-0000-0000-0000956C0000}"/>
    <cellStyle name="Normal 7 8 4 2 2 2 11" xfId="24167" xr:uid="{00000000-0005-0000-0000-0000966C0000}"/>
    <cellStyle name="Normal 7 8 4 2 2 2 12" xfId="22900" xr:uid="{00000000-0005-0000-0000-0000976C0000}"/>
    <cellStyle name="Normal 7 8 4 2 2 2 13" xfId="27063" xr:uid="{00000000-0005-0000-0000-0000986C0000}"/>
    <cellStyle name="Normal 7 8 4 2 2 2 2" xfId="20393" xr:uid="{00000000-0005-0000-0000-0000996C0000}"/>
    <cellStyle name="Normal 7 8 4 2 2 2 3" xfId="18943" xr:uid="{00000000-0005-0000-0000-00009A6C0000}"/>
    <cellStyle name="Normal 7 8 4 2 2 2 4" xfId="19497" xr:uid="{00000000-0005-0000-0000-00009B6C0000}"/>
    <cellStyle name="Normal 7 8 4 2 2 2 5" xfId="21115" xr:uid="{00000000-0005-0000-0000-00009C6C0000}"/>
    <cellStyle name="Normal 7 8 4 2 2 2 6" xfId="21723" xr:uid="{00000000-0005-0000-0000-00009D6C0000}"/>
    <cellStyle name="Normal 7 8 4 2 2 2 7" xfId="22358" xr:uid="{00000000-0005-0000-0000-00009E6C0000}"/>
    <cellStyle name="Normal 7 8 4 2 2 2 8" xfId="22434" xr:uid="{00000000-0005-0000-0000-00009F6C0000}"/>
    <cellStyle name="Normal 7 8 4 2 2 2 9" xfId="21079" xr:uid="{00000000-0005-0000-0000-0000A06C0000}"/>
    <cellStyle name="Normal 7 8 4 2 2 3" xfId="19238" xr:uid="{00000000-0005-0000-0000-0000A16C0000}"/>
    <cellStyle name="Normal 7 8 4 2 3" xfId="18875" xr:uid="{00000000-0005-0000-0000-0000A26C0000}"/>
    <cellStyle name="Normal 7 8 4 2 3 10" xfId="24383" xr:uid="{00000000-0005-0000-0000-0000A36C0000}"/>
    <cellStyle name="Normal 7 8 4 2 3 11" xfId="26048" xr:uid="{00000000-0005-0000-0000-0000A46C0000}"/>
    <cellStyle name="Normal 7 8 4 2 3 12" xfId="26537" xr:uid="{00000000-0005-0000-0000-0000A56C0000}"/>
    <cellStyle name="Normal 7 8 4 2 3 13" xfId="25649" xr:uid="{00000000-0005-0000-0000-0000A66C0000}"/>
    <cellStyle name="Normal 7 8 4 2 3 2" xfId="20392" xr:uid="{00000000-0005-0000-0000-0000A76C0000}"/>
    <cellStyle name="Normal 7 8 4 2 3 3" xfId="19697" xr:uid="{00000000-0005-0000-0000-0000A86C0000}"/>
    <cellStyle name="Normal 7 8 4 2 3 4" xfId="19685" xr:uid="{00000000-0005-0000-0000-0000A96C0000}"/>
    <cellStyle name="Normal 7 8 4 2 3 5" xfId="21407" xr:uid="{00000000-0005-0000-0000-0000AA6C0000}"/>
    <cellStyle name="Normal 7 8 4 2 3 6" xfId="22067" xr:uid="{00000000-0005-0000-0000-0000AB6C0000}"/>
    <cellStyle name="Normal 7 8 4 2 3 7" xfId="22239" xr:uid="{00000000-0005-0000-0000-0000AC6C0000}"/>
    <cellStyle name="Normal 7 8 4 2 3 8" xfId="21903" xr:uid="{00000000-0005-0000-0000-0000AD6C0000}"/>
    <cellStyle name="Normal 7 8 4 2 3 9" xfId="23455" xr:uid="{00000000-0005-0000-0000-0000AE6C0000}"/>
    <cellStyle name="Normal 7 8 4 2 4" xfId="19369" xr:uid="{00000000-0005-0000-0000-0000AF6C0000}"/>
    <cellStyle name="Normal 7 8 4 3" xfId="18603" xr:uid="{00000000-0005-0000-0000-0000B06C0000}"/>
    <cellStyle name="Normal 7 8 4 3 2" xfId="18877" xr:uid="{00000000-0005-0000-0000-0000B16C0000}"/>
    <cellStyle name="Normal 7 8 4 3 2 10" xfId="24468" xr:uid="{00000000-0005-0000-0000-0000B26C0000}"/>
    <cellStyle name="Normal 7 8 4 3 2 11" xfId="23063" xr:uid="{00000000-0005-0000-0000-0000B36C0000}"/>
    <cellStyle name="Normal 7 8 4 3 2 12" xfId="25326" xr:uid="{00000000-0005-0000-0000-0000B46C0000}"/>
    <cellStyle name="Normal 7 8 4 3 2 13" xfId="26777" xr:uid="{00000000-0005-0000-0000-0000B56C0000}"/>
    <cellStyle name="Normal 7 8 4 3 2 2" xfId="20394" xr:uid="{00000000-0005-0000-0000-0000B66C0000}"/>
    <cellStyle name="Normal 7 8 4 3 2 3" xfId="19696" xr:uid="{00000000-0005-0000-0000-0000B76C0000}"/>
    <cellStyle name="Normal 7 8 4 3 2 4" xfId="20496" xr:uid="{00000000-0005-0000-0000-0000B86C0000}"/>
    <cellStyle name="Normal 7 8 4 3 2 5" xfId="20970" xr:uid="{00000000-0005-0000-0000-0000B96C0000}"/>
    <cellStyle name="Normal 7 8 4 3 2 6" xfId="21553" xr:uid="{00000000-0005-0000-0000-0000BA6C0000}"/>
    <cellStyle name="Normal 7 8 4 3 2 7" xfId="23046" xr:uid="{00000000-0005-0000-0000-0000BB6C0000}"/>
    <cellStyle name="Normal 7 8 4 3 2 8" xfId="22911" xr:uid="{00000000-0005-0000-0000-0000BC6C0000}"/>
    <cellStyle name="Normal 7 8 4 3 2 9" xfId="23454" xr:uid="{00000000-0005-0000-0000-0000BD6C0000}"/>
    <cellStyle name="Normal 7 8 4 3 3" xfId="19563" xr:uid="{00000000-0005-0000-0000-0000BE6C0000}"/>
    <cellStyle name="Normal 7 8 4 4" xfId="18874" xr:uid="{00000000-0005-0000-0000-0000BF6C0000}"/>
    <cellStyle name="Normal 7 8 4 4 10" xfId="24338" xr:uid="{00000000-0005-0000-0000-0000C06C0000}"/>
    <cellStyle name="Normal 7 8 4 4 11" xfId="23244" xr:uid="{00000000-0005-0000-0000-0000C16C0000}"/>
    <cellStyle name="Normal 7 8 4 4 12" xfId="26308" xr:uid="{00000000-0005-0000-0000-0000C26C0000}"/>
    <cellStyle name="Normal 7 8 4 4 13" xfId="25173" xr:uid="{00000000-0005-0000-0000-0000C36C0000}"/>
    <cellStyle name="Normal 7 8 4 4 2" xfId="20391" xr:uid="{00000000-0005-0000-0000-0000C46C0000}"/>
    <cellStyle name="Normal 7 8 4 4 3" xfId="20792" xr:uid="{00000000-0005-0000-0000-0000C56C0000}"/>
    <cellStyle name="Normal 7 8 4 4 4" xfId="21505" xr:uid="{00000000-0005-0000-0000-0000C66C0000}"/>
    <cellStyle name="Normal 7 8 4 4 5" xfId="22191" xr:uid="{00000000-0005-0000-0000-0000C76C0000}"/>
    <cellStyle name="Normal 7 8 4 4 6" xfId="22877" xr:uid="{00000000-0005-0000-0000-0000C86C0000}"/>
    <cellStyle name="Normal 7 8 4 4 7" xfId="22404" xr:uid="{00000000-0005-0000-0000-0000C96C0000}"/>
    <cellStyle name="Normal 7 8 4 4 8" xfId="24306" xr:uid="{00000000-0005-0000-0000-0000CA6C0000}"/>
    <cellStyle name="Normal 7 8 4 4 9" xfId="23779" xr:uid="{00000000-0005-0000-0000-0000CB6C0000}"/>
    <cellStyle name="Normal 7 8 4 5" xfId="18962" xr:uid="{00000000-0005-0000-0000-0000CC6C0000}"/>
    <cellStyle name="Normal 7 8 5" xfId="18287" xr:uid="{00000000-0005-0000-0000-0000CD6C0000}"/>
    <cellStyle name="Normal 7 8 5 2" xfId="18472" xr:uid="{00000000-0005-0000-0000-0000CE6C0000}"/>
    <cellStyle name="Normal 7 8 5 2 2" xfId="18606" xr:uid="{00000000-0005-0000-0000-0000CF6C0000}"/>
    <cellStyle name="Normal 7 8 5 2 2 2" xfId="18880" xr:uid="{00000000-0005-0000-0000-0000D06C0000}"/>
    <cellStyle name="Normal 7 8 5 2 2 2 10" xfId="21869" xr:uid="{00000000-0005-0000-0000-0000D16C0000}"/>
    <cellStyle name="Normal 7 8 5 2 2 2 11" xfId="26188" xr:uid="{00000000-0005-0000-0000-0000D26C0000}"/>
    <cellStyle name="Normal 7 8 5 2 2 2 12" xfId="26046" xr:uid="{00000000-0005-0000-0000-0000D36C0000}"/>
    <cellStyle name="Normal 7 8 5 2 2 2 13" xfId="27064" xr:uid="{00000000-0005-0000-0000-0000D46C0000}"/>
    <cellStyle name="Normal 7 8 5 2 2 2 2" xfId="20397" xr:uid="{00000000-0005-0000-0000-0000D56C0000}"/>
    <cellStyle name="Normal 7 8 5 2 2 2 3" xfId="19161" xr:uid="{00000000-0005-0000-0000-0000D66C0000}"/>
    <cellStyle name="Normal 7 8 5 2 2 2 4" xfId="21354" xr:uid="{00000000-0005-0000-0000-0000D76C0000}"/>
    <cellStyle name="Normal 7 8 5 2 2 2 5" xfId="22016" xr:uid="{00000000-0005-0000-0000-0000D86C0000}"/>
    <cellStyle name="Normal 7 8 5 2 2 2 6" xfId="22705" xr:uid="{00000000-0005-0000-0000-0000D96C0000}"/>
    <cellStyle name="Normal 7 8 5 2 2 2 7" xfId="20934" xr:uid="{00000000-0005-0000-0000-0000DA6C0000}"/>
    <cellStyle name="Normal 7 8 5 2 2 2 8" xfId="24125" xr:uid="{00000000-0005-0000-0000-0000DB6C0000}"/>
    <cellStyle name="Normal 7 8 5 2 2 2 9" xfId="23692" xr:uid="{00000000-0005-0000-0000-0000DC6C0000}"/>
    <cellStyle name="Normal 7 8 5 2 2 3" xfId="18961" xr:uid="{00000000-0005-0000-0000-0000DD6C0000}"/>
    <cellStyle name="Normal 7 8 5 2 3" xfId="18879" xr:uid="{00000000-0005-0000-0000-0000DE6C0000}"/>
    <cellStyle name="Normal 7 8 5 2 3 10" xfId="24469" xr:uid="{00000000-0005-0000-0000-0000DF6C0000}"/>
    <cellStyle name="Normal 7 8 5 2 3 11" xfId="23850" xr:uid="{00000000-0005-0000-0000-0000E06C0000}"/>
    <cellStyle name="Normal 7 8 5 2 3 12" xfId="22616" xr:uid="{00000000-0005-0000-0000-0000E16C0000}"/>
    <cellStyle name="Normal 7 8 5 2 3 13" xfId="26873" xr:uid="{00000000-0005-0000-0000-0000E26C0000}"/>
    <cellStyle name="Normal 7 8 5 2 3 2" xfId="20396" xr:uid="{00000000-0005-0000-0000-0000E36C0000}"/>
    <cellStyle name="Normal 7 8 5 2 3 3" xfId="19182" xr:uid="{00000000-0005-0000-0000-0000E46C0000}"/>
    <cellStyle name="Normal 7 8 5 2 3 4" xfId="21062" xr:uid="{00000000-0005-0000-0000-0000E56C0000}"/>
    <cellStyle name="Normal 7 8 5 2 3 5" xfId="21672" xr:uid="{00000000-0005-0000-0000-0000E66C0000}"/>
    <cellStyle name="Normal 7 8 5 2 3 6" xfId="22354" xr:uid="{00000000-0005-0000-0000-0000E76C0000}"/>
    <cellStyle name="Normal 7 8 5 2 3 7" xfId="22095" xr:uid="{00000000-0005-0000-0000-0000E86C0000}"/>
    <cellStyle name="Normal 7 8 5 2 3 8" xfId="23774" xr:uid="{00000000-0005-0000-0000-0000E96C0000}"/>
    <cellStyle name="Normal 7 8 5 2 3 9" xfId="23648" xr:uid="{00000000-0005-0000-0000-0000EA6C0000}"/>
    <cellStyle name="Normal 7 8 5 2 4" xfId="19566" xr:uid="{00000000-0005-0000-0000-0000EB6C0000}"/>
    <cellStyle name="Normal 7 8 5 3" xfId="18605" xr:uid="{00000000-0005-0000-0000-0000EC6C0000}"/>
    <cellStyle name="Normal 7 8 5 3 2" xfId="18881" xr:uid="{00000000-0005-0000-0000-0000ED6C0000}"/>
    <cellStyle name="Normal 7 8 5 3 2 10" xfId="23808" xr:uid="{00000000-0005-0000-0000-0000EE6C0000}"/>
    <cellStyle name="Normal 7 8 5 3 2 11" xfId="26189" xr:uid="{00000000-0005-0000-0000-0000EF6C0000}"/>
    <cellStyle name="Normal 7 8 5 3 2 12" xfId="26072" xr:uid="{00000000-0005-0000-0000-0000F06C0000}"/>
    <cellStyle name="Normal 7 8 5 3 2 13" xfId="24325" xr:uid="{00000000-0005-0000-0000-0000F16C0000}"/>
    <cellStyle name="Normal 7 8 5 3 2 2" xfId="20398" xr:uid="{00000000-0005-0000-0000-0000F26C0000}"/>
    <cellStyle name="Normal 7 8 5 3 2 3" xfId="19033" xr:uid="{00000000-0005-0000-0000-0000F36C0000}"/>
    <cellStyle name="Normal 7 8 5 3 2 4" xfId="19325" xr:uid="{00000000-0005-0000-0000-0000F46C0000}"/>
    <cellStyle name="Normal 7 8 5 3 2 5" xfId="19884" xr:uid="{00000000-0005-0000-0000-0000F56C0000}"/>
    <cellStyle name="Normal 7 8 5 3 2 6" xfId="21434" xr:uid="{00000000-0005-0000-0000-0000F66C0000}"/>
    <cellStyle name="Normal 7 8 5 3 2 7" xfId="22226" xr:uid="{00000000-0005-0000-0000-0000F76C0000}"/>
    <cellStyle name="Normal 7 8 5 3 2 8" xfId="23469" xr:uid="{00000000-0005-0000-0000-0000F86C0000}"/>
    <cellStyle name="Normal 7 8 5 3 2 9" xfId="24186" xr:uid="{00000000-0005-0000-0000-0000F96C0000}"/>
    <cellStyle name="Normal 7 8 5 3 3" xfId="19368" xr:uid="{00000000-0005-0000-0000-0000FA6C0000}"/>
    <cellStyle name="Normal 7 8 5 4" xfId="18878" xr:uid="{00000000-0005-0000-0000-0000FB6C0000}"/>
    <cellStyle name="Normal 7 8 5 4 10" xfId="24526" xr:uid="{00000000-0005-0000-0000-0000FC6C0000}"/>
    <cellStyle name="Normal 7 8 5 4 11" xfId="25140" xr:uid="{00000000-0005-0000-0000-0000FD6C0000}"/>
    <cellStyle name="Normal 7 8 5 4 12" xfId="24018" xr:uid="{00000000-0005-0000-0000-0000FE6C0000}"/>
    <cellStyle name="Normal 7 8 5 4 13" xfId="23815" xr:uid="{00000000-0005-0000-0000-0000FF6C0000}"/>
    <cellStyle name="Normal 7 8 5 4 2" xfId="20395" xr:uid="{00000000-0005-0000-0000-0000006D0000}"/>
    <cellStyle name="Normal 7 8 5 4 3" xfId="19293" xr:uid="{00000000-0005-0000-0000-0000016D0000}"/>
    <cellStyle name="Normal 7 8 5 4 4" xfId="20460" xr:uid="{00000000-0005-0000-0000-0000026D0000}"/>
    <cellStyle name="Normal 7 8 5 4 5" xfId="21066" xr:uid="{00000000-0005-0000-0000-0000036D0000}"/>
    <cellStyle name="Normal 7 8 5 4 6" xfId="21676" xr:uid="{00000000-0005-0000-0000-0000046D0000}"/>
    <cellStyle name="Normal 7 8 5 4 7" xfId="23416" xr:uid="{00000000-0005-0000-0000-0000056D0000}"/>
    <cellStyle name="Normal 7 8 5 4 8" xfId="22963" xr:uid="{00000000-0005-0000-0000-0000066D0000}"/>
    <cellStyle name="Normal 7 8 5 4 9" xfId="23086" xr:uid="{00000000-0005-0000-0000-0000076D0000}"/>
    <cellStyle name="Normal 7 8 5 5" xfId="19241" xr:uid="{00000000-0005-0000-0000-0000086D0000}"/>
    <cellStyle name="Normal 7 8 6" xfId="18273" xr:uid="{00000000-0005-0000-0000-0000096D0000}"/>
    <cellStyle name="Normal 7 8 6 2" xfId="18473" xr:uid="{00000000-0005-0000-0000-00000A6D0000}"/>
    <cellStyle name="Normal 7 8 6 2 2" xfId="18608" xr:uid="{00000000-0005-0000-0000-00000B6D0000}"/>
    <cellStyle name="Normal 7 8 6 2 2 2" xfId="18884" xr:uid="{00000000-0005-0000-0000-00000C6D0000}"/>
    <cellStyle name="Normal 7 8 6 2 2 2 10" xfId="24348" xr:uid="{00000000-0005-0000-0000-00000D6D0000}"/>
    <cellStyle name="Normal 7 8 6 2 2 2 11" xfId="26192" xr:uid="{00000000-0005-0000-0000-00000E6D0000}"/>
    <cellStyle name="Normal 7 8 6 2 2 2 12" xfId="26073" xr:uid="{00000000-0005-0000-0000-00000F6D0000}"/>
    <cellStyle name="Normal 7 8 6 2 2 2 13" xfId="26209" xr:uid="{00000000-0005-0000-0000-0000106D0000}"/>
    <cellStyle name="Normal 7 8 6 2 2 2 2" xfId="20401" xr:uid="{00000000-0005-0000-0000-0000116D0000}"/>
    <cellStyle name="Normal 7 8 6 2 2 2 3" xfId="19316" xr:uid="{00000000-0005-0000-0000-0000126D0000}"/>
    <cellStyle name="Normal 7 8 6 2 2 2 4" xfId="20537" xr:uid="{00000000-0005-0000-0000-0000136D0000}"/>
    <cellStyle name="Normal 7 8 6 2 2 2 5" xfId="21128" xr:uid="{00000000-0005-0000-0000-0000146D0000}"/>
    <cellStyle name="Normal 7 8 6 2 2 2 6" xfId="21735" xr:uid="{00000000-0005-0000-0000-0000156D0000}"/>
    <cellStyle name="Normal 7 8 6 2 2 2 7" xfId="20866" xr:uid="{00000000-0005-0000-0000-0000166D0000}"/>
    <cellStyle name="Normal 7 8 6 2 2 2 8" xfId="22921" xr:uid="{00000000-0005-0000-0000-0000176D0000}"/>
    <cellStyle name="Normal 7 8 6 2 2 2 9" xfId="23780" xr:uid="{00000000-0005-0000-0000-0000186D0000}"/>
    <cellStyle name="Normal 7 8 6 2 2 3" xfId="19240" xr:uid="{00000000-0005-0000-0000-0000196D0000}"/>
    <cellStyle name="Normal 7 8 6 2 3" xfId="18883" xr:uid="{00000000-0005-0000-0000-00001A6D0000}"/>
    <cellStyle name="Normal 7 8 6 2 3 10" xfId="21583" xr:uid="{00000000-0005-0000-0000-00001B6D0000}"/>
    <cellStyle name="Normal 7 8 6 2 3 11" xfId="26191" xr:uid="{00000000-0005-0000-0000-00001C6D0000}"/>
    <cellStyle name="Normal 7 8 6 2 3 12" xfId="26047" xr:uid="{00000000-0005-0000-0000-00001D6D0000}"/>
    <cellStyle name="Normal 7 8 6 2 3 13" xfId="25357" xr:uid="{00000000-0005-0000-0000-00001E6D0000}"/>
    <cellStyle name="Normal 7 8 6 2 3 2" xfId="20400" xr:uid="{00000000-0005-0000-0000-00001F6D0000}"/>
    <cellStyle name="Normal 7 8 6 2 3 3" xfId="18915" xr:uid="{00000000-0005-0000-0000-0000206D0000}"/>
    <cellStyle name="Normal 7 8 6 2 3 4" xfId="19964" xr:uid="{00000000-0005-0000-0000-0000216D0000}"/>
    <cellStyle name="Normal 7 8 6 2 3 5" xfId="20958" xr:uid="{00000000-0005-0000-0000-0000226D0000}"/>
    <cellStyle name="Normal 7 8 6 2 3 6" xfId="21541" xr:uid="{00000000-0005-0000-0000-0000236D0000}"/>
    <cellStyle name="Normal 7 8 6 2 3 7" xfId="22359" xr:uid="{00000000-0005-0000-0000-0000246D0000}"/>
    <cellStyle name="Normal 7 8 6 2 3 8" xfId="23097" xr:uid="{00000000-0005-0000-0000-0000256D0000}"/>
    <cellStyle name="Normal 7 8 6 2 3 9" xfId="23646" xr:uid="{00000000-0005-0000-0000-0000266D0000}"/>
    <cellStyle name="Normal 7 8 6 2 4" xfId="19564" xr:uid="{00000000-0005-0000-0000-0000276D0000}"/>
    <cellStyle name="Normal 7 8 6 3" xfId="18607" xr:uid="{00000000-0005-0000-0000-0000286D0000}"/>
    <cellStyle name="Normal 7 8 6 3 2" xfId="18885" xr:uid="{00000000-0005-0000-0000-0000296D0000}"/>
    <cellStyle name="Normal 7 8 6 3 2 10" xfId="23804" xr:uid="{00000000-0005-0000-0000-00002A6D0000}"/>
    <cellStyle name="Normal 7 8 6 3 2 11" xfId="26193" xr:uid="{00000000-0005-0000-0000-00002B6D0000}"/>
    <cellStyle name="Normal 7 8 6 3 2 12" xfId="23432" xr:uid="{00000000-0005-0000-0000-00002C6D0000}"/>
    <cellStyle name="Normal 7 8 6 3 2 13" xfId="26778" xr:uid="{00000000-0005-0000-0000-00002D6D0000}"/>
    <cellStyle name="Normal 7 8 6 3 2 2" xfId="20402" xr:uid="{00000000-0005-0000-0000-00002E6D0000}"/>
    <cellStyle name="Normal 7 8 6 3 2 3" xfId="19101" xr:uid="{00000000-0005-0000-0000-00002F6D0000}"/>
    <cellStyle name="Normal 7 8 6 3 2 4" xfId="20589" xr:uid="{00000000-0005-0000-0000-0000306D0000}"/>
    <cellStyle name="Normal 7 8 6 3 2 5" xfId="21067" xr:uid="{00000000-0005-0000-0000-0000316D0000}"/>
    <cellStyle name="Normal 7 8 6 3 2 6" xfId="21677" xr:uid="{00000000-0005-0000-0000-0000326D0000}"/>
    <cellStyle name="Normal 7 8 6 3 2 7" xfId="21709" xr:uid="{00000000-0005-0000-0000-0000336D0000}"/>
    <cellStyle name="Normal 7 8 6 3 2 8" xfId="23050" xr:uid="{00000000-0005-0000-0000-0000346D0000}"/>
    <cellStyle name="Normal 7 8 6 3 2 9" xfId="23833" xr:uid="{00000000-0005-0000-0000-0000356D0000}"/>
    <cellStyle name="Normal 7 8 6 3 3" xfId="19565" xr:uid="{00000000-0005-0000-0000-0000366D0000}"/>
    <cellStyle name="Normal 7 8 6 4" xfId="18882" xr:uid="{00000000-0005-0000-0000-0000376D0000}"/>
    <cellStyle name="Normal 7 8 6 4 10" xfId="24161" xr:uid="{00000000-0005-0000-0000-0000386D0000}"/>
    <cellStyle name="Normal 7 8 6 4 11" xfId="26190" xr:uid="{00000000-0005-0000-0000-0000396D0000}"/>
    <cellStyle name="Normal 7 8 6 4 12" xfId="25501" xr:uid="{00000000-0005-0000-0000-00003A6D0000}"/>
    <cellStyle name="Normal 7 8 6 4 13" xfId="25952" xr:uid="{00000000-0005-0000-0000-00003B6D0000}"/>
    <cellStyle name="Normal 7 8 6 4 2" xfId="20399" xr:uid="{00000000-0005-0000-0000-00003C6D0000}"/>
    <cellStyle name="Normal 7 8 6 4 3" xfId="19644" xr:uid="{00000000-0005-0000-0000-00003D6D0000}"/>
    <cellStyle name="Normal 7 8 6 4 4" xfId="19309" xr:uid="{00000000-0005-0000-0000-00003E6D0000}"/>
    <cellStyle name="Normal 7 8 6 4 5" xfId="20699" xr:uid="{00000000-0005-0000-0000-00003F6D0000}"/>
    <cellStyle name="Normal 7 8 6 4 6" xfId="18902" xr:uid="{00000000-0005-0000-0000-0000406D0000}"/>
    <cellStyle name="Normal 7 8 6 4 7" xfId="22419" xr:uid="{00000000-0005-0000-0000-0000416D0000}"/>
    <cellStyle name="Normal 7 8 6 4 8" xfId="20800" xr:uid="{00000000-0005-0000-0000-0000426D0000}"/>
    <cellStyle name="Normal 7 8 6 4 9" xfId="23645" xr:uid="{00000000-0005-0000-0000-0000436D0000}"/>
    <cellStyle name="Normal 7 8 6 5" xfId="19239" xr:uid="{00000000-0005-0000-0000-0000446D0000}"/>
    <cellStyle name="Normal 7 8 7" xfId="18458" xr:uid="{00000000-0005-0000-0000-0000456D0000}"/>
    <cellStyle name="Normal 7 8 7 2" xfId="18609" xr:uid="{00000000-0005-0000-0000-0000466D0000}"/>
    <cellStyle name="Normal 7 8 7 2 2" xfId="18887" xr:uid="{00000000-0005-0000-0000-0000476D0000}"/>
    <cellStyle name="Normal 7 8 7 2 2 10" xfId="24346" xr:uid="{00000000-0005-0000-0000-0000486D0000}"/>
    <cellStyle name="Normal 7 8 7 2 2 11" xfId="26195" xr:uid="{00000000-0005-0000-0000-0000496D0000}"/>
    <cellStyle name="Normal 7 8 7 2 2 12" xfId="25933" xr:uid="{00000000-0005-0000-0000-00004A6D0000}"/>
    <cellStyle name="Normal 7 8 7 2 2 13" xfId="25815" xr:uid="{00000000-0005-0000-0000-00004B6D0000}"/>
    <cellStyle name="Normal 7 8 7 2 2 2" xfId="20404" xr:uid="{00000000-0005-0000-0000-00004C6D0000}"/>
    <cellStyle name="Normal 7 8 7 2 2 3" xfId="19196" xr:uid="{00000000-0005-0000-0000-00004D6D0000}"/>
    <cellStyle name="Normal 7 8 7 2 2 4" xfId="19622" xr:uid="{00000000-0005-0000-0000-00004E6D0000}"/>
    <cellStyle name="Normal 7 8 7 2 2 5" xfId="20004" xr:uid="{00000000-0005-0000-0000-00004F6D0000}"/>
    <cellStyle name="Normal 7 8 7 2 2 6" xfId="21101" xr:uid="{00000000-0005-0000-0000-0000506D0000}"/>
    <cellStyle name="Normal 7 8 7 2 2 7" xfId="19928" xr:uid="{00000000-0005-0000-0000-0000516D0000}"/>
    <cellStyle name="Normal 7 8 7 2 2 8" xfId="23051" xr:uid="{00000000-0005-0000-0000-0000526D0000}"/>
    <cellStyle name="Normal 7 8 7 2 2 9" xfId="19833" xr:uid="{00000000-0005-0000-0000-0000536D0000}"/>
    <cellStyle name="Normal 7 8 7 2 3" xfId="19367" xr:uid="{00000000-0005-0000-0000-0000546D0000}"/>
    <cellStyle name="Normal 7 8 7 3" xfId="18886" xr:uid="{00000000-0005-0000-0000-0000556D0000}"/>
    <cellStyle name="Normal 7 8 7 3 10" xfId="24019" xr:uid="{00000000-0005-0000-0000-0000566D0000}"/>
    <cellStyle name="Normal 7 8 7 3 11" xfId="26194" xr:uid="{00000000-0005-0000-0000-0000576D0000}"/>
    <cellStyle name="Normal 7 8 7 3 12" xfId="25763" xr:uid="{00000000-0005-0000-0000-0000586D0000}"/>
    <cellStyle name="Normal 7 8 7 3 13" xfId="26970" xr:uid="{00000000-0005-0000-0000-0000596D0000}"/>
    <cellStyle name="Normal 7 8 7 3 2" xfId="20403" xr:uid="{00000000-0005-0000-0000-00005A6D0000}"/>
    <cellStyle name="Normal 7 8 7 3 3" xfId="19188" xr:uid="{00000000-0005-0000-0000-00005B6D0000}"/>
    <cellStyle name="Normal 7 8 7 3 4" xfId="20538" xr:uid="{00000000-0005-0000-0000-00005C6D0000}"/>
    <cellStyle name="Normal 7 8 7 3 5" xfId="20569" xr:uid="{00000000-0005-0000-0000-00005D6D0000}"/>
    <cellStyle name="Normal 7 8 7 3 6" xfId="20406" xr:uid="{00000000-0005-0000-0000-00005E6D0000}"/>
    <cellStyle name="Normal 7 8 7 3 7" xfId="22052" xr:uid="{00000000-0005-0000-0000-00005F6D0000}"/>
    <cellStyle name="Normal 7 8 7 3 8" xfId="23112" xr:uid="{00000000-0005-0000-0000-0000606D0000}"/>
    <cellStyle name="Normal 7 8 7 3 9" xfId="21531" xr:uid="{00000000-0005-0000-0000-0000616D0000}"/>
    <cellStyle name="Normal 7 8 7 4" xfId="18960" xr:uid="{00000000-0005-0000-0000-0000626D0000}"/>
    <cellStyle name="Normal 7 8 8" xfId="18578" xr:uid="{00000000-0005-0000-0000-0000636D0000}"/>
    <cellStyle name="Normal 7 8 8 2" xfId="18888" xr:uid="{00000000-0005-0000-0000-0000646D0000}"/>
    <cellStyle name="Normal 7 8 8 2 10" xfId="24857" xr:uid="{00000000-0005-0000-0000-0000656D0000}"/>
    <cellStyle name="Normal 7 8 8 2 11" xfId="26196" xr:uid="{00000000-0005-0000-0000-0000666D0000}"/>
    <cellStyle name="Normal 7 8 8 2 12" xfId="23077" xr:uid="{00000000-0005-0000-0000-0000676D0000}"/>
    <cellStyle name="Normal 7 8 8 2 13" xfId="25320" xr:uid="{00000000-0005-0000-0000-0000686D0000}"/>
    <cellStyle name="Normal 7 8 8 2 2" xfId="20405" xr:uid="{00000000-0005-0000-0000-0000696D0000}"/>
    <cellStyle name="Normal 7 8 8 2 3" xfId="18939" xr:uid="{00000000-0005-0000-0000-00006A6D0000}"/>
    <cellStyle name="Normal 7 8 8 2 4" xfId="19319" xr:uid="{00000000-0005-0000-0000-00006B6D0000}"/>
    <cellStyle name="Normal 7 8 8 2 5" xfId="20003" xr:uid="{00000000-0005-0000-0000-00006C6D0000}"/>
    <cellStyle name="Normal 7 8 8 2 6" xfId="21392" xr:uid="{00000000-0005-0000-0000-00006D6D0000}"/>
    <cellStyle name="Normal 7 8 8 2 7" xfId="22240" xr:uid="{00000000-0005-0000-0000-00006E6D0000}"/>
    <cellStyle name="Normal 7 8 8 2 8" xfId="21443" xr:uid="{00000000-0005-0000-0000-00006F6D0000}"/>
    <cellStyle name="Normal 7 8 8 2 9" xfId="22622" xr:uid="{00000000-0005-0000-0000-0000706D0000}"/>
    <cellStyle name="Normal 7 8 8 3" xfId="18959" xr:uid="{00000000-0005-0000-0000-0000716D0000}"/>
    <cellStyle name="Normal 7 8 9" xfId="18825" xr:uid="{00000000-0005-0000-0000-0000726D0000}"/>
    <cellStyle name="Normal 7 8 9 10" xfId="25620" xr:uid="{00000000-0005-0000-0000-0000736D0000}"/>
    <cellStyle name="Normal 7 8 9 11" xfId="23671" xr:uid="{00000000-0005-0000-0000-0000746D0000}"/>
    <cellStyle name="Normal 7 8 9 12" xfId="26532" xr:uid="{00000000-0005-0000-0000-0000756D0000}"/>
    <cellStyle name="Normal 7 8 9 13" xfId="25643" xr:uid="{00000000-0005-0000-0000-0000766D0000}"/>
    <cellStyle name="Normal 7 8 9 2" xfId="20342" xr:uid="{00000000-0005-0000-0000-0000776D0000}"/>
    <cellStyle name="Normal 7 8 9 3" xfId="20528" xr:uid="{00000000-0005-0000-0000-0000786D0000}"/>
    <cellStyle name="Normal 7 8 9 4" xfId="21054" xr:uid="{00000000-0005-0000-0000-0000796D0000}"/>
    <cellStyle name="Normal 7 8 9 5" xfId="21664" xr:uid="{00000000-0005-0000-0000-00007A6D0000}"/>
    <cellStyle name="Normal 7 8 9 6" xfId="22346" xr:uid="{00000000-0005-0000-0000-00007B6D0000}"/>
    <cellStyle name="Normal 7 8 9 7" xfId="22756" xr:uid="{00000000-0005-0000-0000-00007C6D0000}"/>
    <cellStyle name="Normal 7 8 9 8" xfId="23766" xr:uid="{00000000-0005-0000-0000-00007D6D0000}"/>
    <cellStyle name="Normal 7 8 9 9" xfId="23993" xr:uid="{00000000-0005-0000-0000-00007E6D0000}"/>
    <cellStyle name="Normal 7 8_Fordelinger" xfId="18288" xr:uid="{00000000-0005-0000-0000-00007F6D0000}"/>
    <cellStyle name="Normal 7 9" xfId="18144" xr:uid="{00000000-0005-0000-0000-0000806D0000}"/>
    <cellStyle name="Normal 70" xfId="18893" xr:uid="{00000000-0005-0000-0000-0000816D0000}"/>
    <cellStyle name="Normal 71" xfId="19594" xr:uid="{00000000-0005-0000-0000-0000826D0000}"/>
    <cellStyle name="Normal 71 2" xfId="19506" xr:uid="{00000000-0005-0000-0000-0000836D0000}"/>
    <cellStyle name="Normal 71 3" xfId="20816" xr:uid="{00000000-0005-0000-0000-0000846D0000}"/>
    <cellStyle name="Normal 72" xfId="19595" xr:uid="{00000000-0005-0000-0000-0000856D0000}"/>
    <cellStyle name="Normal 72 2" xfId="19511" xr:uid="{00000000-0005-0000-0000-0000866D0000}"/>
    <cellStyle name="Normal 72 3" xfId="20817" xr:uid="{00000000-0005-0000-0000-0000876D0000}"/>
    <cellStyle name="Normal 73" xfId="19419" xr:uid="{00000000-0005-0000-0000-0000886D0000}"/>
    <cellStyle name="Normal 73 2" xfId="19177" xr:uid="{00000000-0005-0000-0000-0000896D0000}"/>
    <cellStyle name="Normal 73 3" xfId="20710" xr:uid="{00000000-0005-0000-0000-00008A6D0000}"/>
    <cellStyle name="Normal 74" xfId="19179" xr:uid="{00000000-0005-0000-0000-00008B6D0000}"/>
    <cellStyle name="Normal 75" xfId="19123" xr:uid="{00000000-0005-0000-0000-00008C6D0000}"/>
    <cellStyle name="Normal 76" xfId="19510" xr:uid="{00000000-0005-0000-0000-00008D6D0000}"/>
    <cellStyle name="Normal 77" xfId="19184" xr:uid="{00000000-0005-0000-0000-00008E6D0000}"/>
    <cellStyle name="Normal 78" xfId="19178" xr:uid="{00000000-0005-0000-0000-00008F6D0000}"/>
    <cellStyle name="Normal 79" xfId="19516" xr:uid="{00000000-0005-0000-0000-0000906D0000}"/>
    <cellStyle name="Normal 8" xfId="118" xr:uid="{00000000-0005-0000-0000-0000916D0000}"/>
    <cellStyle name="Normal 8 10" xfId="29368" xr:uid="{00000000-0005-0000-0000-0000926D0000}"/>
    <cellStyle name="Normal 8 2" xfId="217" xr:uid="{00000000-0005-0000-0000-0000936D0000}"/>
    <cellStyle name="Normal 8 2 2" xfId="424" xr:uid="{00000000-0005-0000-0000-0000946D0000}"/>
    <cellStyle name="Normal 8 2 2 2" xfId="917" xr:uid="{00000000-0005-0000-0000-0000956D0000}"/>
    <cellStyle name="Normal 8 2 2 2 2" xfId="28448" xr:uid="{00000000-0005-0000-0000-0000966D0000}"/>
    <cellStyle name="Normal 8 2 2 2 3" xfId="29371" xr:uid="{00000000-0005-0000-0000-0000976D0000}"/>
    <cellStyle name="Normal 8 2 2 3" xfId="27495" xr:uid="{00000000-0005-0000-0000-0000986D0000}"/>
    <cellStyle name="Normal 8 2 2 4" xfId="28447" xr:uid="{00000000-0005-0000-0000-0000996D0000}"/>
    <cellStyle name="Normal 8 2 2 5" xfId="29370" xr:uid="{00000000-0005-0000-0000-00009A6D0000}"/>
    <cellStyle name="Normal 8 2 3" xfId="748" xr:uid="{00000000-0005-0000-0000-00009B6D0000}"/>
    <cellStyle name="Normal 8 2 3 2" xfId="27498" xr:uid="{00000000-0005-0000-0000-00009C6D0000}"/>
    <cellStyle name="Normal 8 2 3 3" xfId="28449" xr:uid="{00000000-0005-0000-0000-00009D6D0000}"/>
    <cellStyle name="Normal 8 2 3 4" xfId="29372" xr:uid="{00000000-0005-0000-0000-00009E6D0000}"/>
    <cellStyle name="Normal 8 2 4" xfId="1087" xr:uid="{00000000-0005-0000-0000-00009F6D0000}"/>
    <cellStyle name="Normal 8 2 4 2" xfId="27504" xr:uid="{00000000-0005-0000-0000-0000A06D0000}"/>
    <cellStyle name="Normal 8 2 4 3" xfId="27528" xr:uid="{00000000-0005-0000-0000-0000A16D0000}"/>
    <cellStyle name="Normal 8 2 5" xfId="18152" xr:uid="{00000000-0005-0000-0000-0000A26D0000}"/>
    <cellStyle name="Normal 8 2 6" xfId="28446" xr:uid="{00000000-0005-0000-0000-0000A36D0000}"/>
    <cellStyle name="Normal 8 2 7" xfId="29369" xr:uid="{00000000-0005-0000-0000-0000A46D0000}"/>
    <cellStyle name="Normal 8 3" xfId="331" xr:uid="{00000000-0005-0000-0000-0000A56D0000}"/>
    <cellStyle name="Normal 8 3 2" xfId="824" xr:uid="{00000000-0005-0000-0000-0000A66D0000}"/>
    <cellStyle name="Normal 8 3 2 2" xfId="28450" xr:uid="{00000000-0005-0000-0000-0000A76D0000}"/>
    <cellStyle name="Normal 8 3 2 3" xfId="29374" xr:uid="{00000000-0005-0000-0000-0000A86D0000}"/>
    <cellStyle name="Normal 8 3 3" xfId="18153" xr:uid="{00000000-0005-0000-0000-0000A96D0000}"/>
    <cellStyle name="Normal 8 3 3 2" xfId="27546" xr:uid="{00000000-0005-0000-0000-0000AA6D0000}"/>
    <cellStyle name="Normal 8 3 3 3" xfId="27558" xr:uid="{00000000-0005-0000-0000-0000AB6D0000}"/>
    <cellStyle name="Normal 8 3 4" xfId="27324" xr:uid="{00000000-0005-0000-0000-0000AC6D0000}"/>
    <cellStyle name="Normal 8 3 4 2" xfId="29396" xr:uid="{00000000-0005-0000-0000-0000AD6D0000}"/>
    <cellStyle name="Normal 8 3 5" xfId="29373" xr:uid="{00000000-0005-0000-0000-0000AE6D0000}"/>
    <cellStyle name="Normal 8 4" xfId="747" xr:uid="{00000000-0005-0000-0000-0000AF6D0000}"/>
    <cellStyle name="Normal 8 4 2" xfId="18154" xr:uid="{00000000-0005-0000-0000-0000B06D0000}"/>
    <cellStyle name="Normal 8 4 2 2" xfId="27547" xr:uid="{00000000-0005-0000-0000-0000B16D0000}"/>
    <cellStyle name="Normal 8 4 2 3" xfId="27557" xr:uid="{00000000-0005-0000-0000-0000B26D0000}"/>
    <cellStyle name="Normal 8 4 3" xfId="28451" xr:uid="{00000000-0005-0000-0000-0000B36D0000}"/>
    <cellStyle name="Normal 8 4 4" xfId="29375" xr:uid="{00000000-0005-0000-0000-0000B46D0000}"/>
    <cellStyle name="Normal 8 5" xfId="1029" xr:uid="{00000000-0005-0000-0000-0000B56D0000}"/>
    <cellStyle name="Normal 8 5 2" xfId="18155" xr:uid="{00000000-0005-0000-0000-0000B66D0000}"/>
    <cellStyle name="Normal 8 5 3" xfId="28452" xr:uid="{00000000-0005-0000-0000-0000B76D0000}"/>
    <cellStyle name="Normal 8 5 4" xfId="29376" xr:uid="{00000000-0005-0000-0000-0000B86D0000}"/>
    <cellStyle name="Normal 8 6" xfId="1302" xr:uid="{00000000-0005-0000-0000-0000B96D0000}"/>
    <cellStyle name="Normal 8 6 2" xfId="18156" xr:uid="{00000000-0005-0000-0000-0000BA6D0000}"/>
    <cellStyle name="Normal 8 6 3" xfId="27519" xr:uid="{00000000-0005-0000-0000-0000BB6D0000}"/>
    <cellStyle name="Normal 8 6 4" xfId="27534" xr:uid="{00000000-0005-0000-0000-0000BC6D0000}"/>
    <cellStyle name="Normal 8 7" xfId="18157" xr:uid="{00000000-0005-0000-0000-0000BD6D0000}"/>
    <cellStyle name="Normal 8 8" xfId="18151" xr:uid="{00000000-0005-0000-0000-0000BE6D0000}"/>
    <cellStyle name="Normal 8 9" xfId="28445" xr:uid="{00000000-0005-0000-0000-0000BF6D0000}"/>
    <cellStyle name="Normal 80" xfId="19181" xr:uid="{00000000-0005-0000-0000-0000C06D0000}"/>
    <cellStyle name="Normal 81" xfId="19187" xr:uid="{00000000-0005-0000-0000-0000C16D0000}"/>
    <cellStyle name="Normal 82" xfId="19518" xr:uid="{00000000-0005-0000-0000-0000C26D0000}"/>
    <cellStyle name="Normal 83" xfId="19519" xr:uid="{00000000-0005-0000-0000-0000C36D0000}"/>
    <cellStyle name="Normal 84" xfId="19034" xr:uid="{00000000-0005-0000-0000-0000C46D0000}"/>
    <cellStyle name="Normal 85" xfId="19105" xr:uid="{00000000-0005-0000-0000-0000C56D0000}"/>
    <cellStyle name="Normal 86" xfId="19060" xr:uid="{00000000-0005-0000-0000-0000C66D0000}"/>
    <cellStyle name="Normal 87" xfId="19208" xr:uid="{00000000-0005-0000-0000-0000C76D0000}"/>
    <cellStyle name="Normal 88" xfId="19323" xr:uid="{00000000-0005-0000-0000-0000C86D0000}"/>
    <cellStyle name="Normal 89" xfId="19213" xr:uid="{00000000-0005-0000-0000-0000C96D0000}"/>
    <cellStyle name="Normal 9" xfId="150" xr:uid="{00000000-0005-0000-0000-0000CA6D0000}"/>
    <cellStyle name="Normal 9 2" xfId="247" xr:uid="{00000000-0005-0000-0000-0000CB6D0000}"/>
    <cellStyle name="Normal 9 2 2" xfId="454" xr:uid="{00000000-0005-0000-0000-0000CC6D0000}"/>
    <cellStyle name="Normal 9 2 2 2" xfId="947" xr:uid="{00000000-0005-0000-0000-0000CD6D0000}"/>
    <cellStyle name="Normal 9 2 2 2 2" xfId="28456" xr:uid="{00000000-0005-0000-0000-0000CE6D0000}"/>
    <cellStyle name="Normal 9 2 2 2 3" xfId="29380" xr:uid="{00000000-0005-0000-0000-0000CF6D0000}"/>
    <cellStyle name="Normal 9 2 2 3" xfId="28455" xr:uid="{00000000-0005-0000-0000-0000D06D0000}"/>
    <cellStyle name="Normal 9 2 2 4" xfId="29379" xr:uid="{00000000-0005-0000-0000-0000D16D0000}"/>
    <cellStyle name="Normal 9 2 3" xfId="750" xr:uid="{00000000-0005-0000-0000-0000D26D0000}"/>
    <cellStyle name="Normal 9 2 3 2" xfId="28457" xr:uid="{00000000-0005-0000-0000-0000D36D0000}"/>
    <cellStyle name="Normal 9 2 3 3" xfId="29381" xr:uid="{00000000-0005-0000-0000-0000D46D0000}"/>
    <cellStyle name="Normal 9 2 4" xfId="1059" xr:uid="{00000000-0005-0000-0000-0000D56D0000}"/>
    <cellStyle name="Normal 9 2 4 2" xfId="28458" xr:uid="{00000000-0005-0000-0000-0000D66D0000}"/>
    <cellStyle name="Normal 9 2 4 3" xfId="29382" xr:uid="{00000000-0005-0000-0000-0000D76D0000}"/>
    <cellStyle name="Normal 9 2 5" xfId="18159" xr:uid="{00000000-0005-0000-0000-0000D86D0000}"/>
    <cellStyle name="Normal 9 2 5 2" xfId="27548" xr:uid="{00000000-0005-0000-0000-0000D96D0000}"/>
    <cellStyle name="Normal 9 2 5 3" xfId="27525" xr:uid="{00000000-0005-0000-0000-0000DA6D0000}"/>
    <cellStyle name="Normal 9 2 6" xfId="28454" xr:uid="{00000000-0005-0000-0000-0000DB6D0000}"/>
    <cellStyle name="Normal 9 2 7" xfId="29378" xr:uid="{00000000-0005-0000-0000-0000DC6D0000}"/>
    <cellStyle name="Normal 9 3" xfId="166" xr:uid="{00000000-0005-0000-0000-0000DD6D0000}"/>
    <cellStyle name="Normal 9 3 2" xfId="18160" xr:uid="{00000000-0005-0000-0000-0000DE6D0000}"/>
    <cellStyle name="Normal 9 3 3" xfId="27331" xr:uid="{00000000-0005-0000-0000-0000DF6D0000}"/>
    <cellStyle name="Normal 9 4" xfId="361" xr:uid="{00000000-0005-0000-0000-0000E06D0000}"/>
    <cellStyle name="Normal 9 4 2" xfId="854" xr:uid="{00000000-0005-0000-0000-0000E16D0000}"/>
    <cellStyle name="Normal 9 4 2 2" xfId="28460" xr:uid="{00000000-0005-0000-0000-0000E26D0000}"/>
    <cellStyle name="Normal 9 4 2 3" xfId="29384" xr:uid="{00000000-0005-0000-0000-0000E36D0000}"/>
    <cellStyle name="Normal 9 4 3" xfId="18161" xr:uid="{00000000-0005-0000-0000-0000E46D0000}"/>
    <cellStyle name="Normal 9 4 4" xfId="28459" xr:uid="{00000000-0005-0000-0000-0000E56D0000}"/>
    <cellStyle name="Normal 9 4 5" xfId="29383" xr:uid="{00000000-0005-0000-0000-0000E66D0000}"/>
    <cellStyle name="Normal 9 5" xfId="749" xr:uid="{00000000-0005-0000-0000-0000E76D0000}"/>
    <cellStyle name="Normal 9 5 2" xfId="28461" xr:uid="{00000000-0005-0000-0000-0000E86D0000}"/>
    <cellStyle name="Normal 9 5 3" xfId="29385" xr:uid="{00000000-0005-0000-0000-0000E96D0000}"/>
    <cellStyle name="Normal 9 6" xfId="1098" xr:uid="{00000000-0005-0000-0000-0000EA6D0000}"/>
    <cellStyle name="Normal 9 6 2" xfId="20897" xr:uid="{00000000-0005-0000-0000-0000EB6D0000}"/>
    <cellStyle name="Normal 9 6 3" xfId="27506" xr:uid="{00000000-0005-0000-0000-0000EC6D0000}"/>
    <cellStyle name="Normal 9 7" xfId="18158" xr:uid="{00000000-0005-0000-0000-0000ED6D0000}"/>
    <cellStyle name="Normal 9 8" xfId="28453" xr:uid="{00000000-0005-0000-0000-0000EE6D0000}"/>
    <cellStyle name="Normal 9 9" xfId="29377" xr:uid="{00000000-0005-0000-0000-0000EF6D0000}"/>
    <cellStyle name="Normal 90" xfId="19066" xr:uid="{00000000-0005-0000-0000-0000F06D0000}"/>
    <cellStyle name="Normal 91" xfId="19107" xr:uid="{00000000-0005-0000-0000-0000F16D0000}"/>
    <cellStyle name="Normal 92" xfId="19641" xr:uid="{00000000-0005-0000-0000-0000F26D0000}"/>
    <cellStyle name="Normal 93" xfId="19051" xr:uid="{00000000-0005-0000-0000-0000F36D0000}"/>
    <cellStyle name="Normal 94" xfId="19054" xr:uid="{00000000-0005-0000-0000-0000F46D0000}"/>
    <cellStyle name="Normal 95" xfId="19217" xr:uid="{00000000-0005-0000-0000-0000F56D0000}"/>
    <cellStyle name="Normal 96" xfId="19315" xr:uid="{00000000-0005-0000-0000-0000F66D0000}"/>
    <cellStyle name="Normal 97" xfId="18924" xr:uid="{00000000-0005-0000-0000-0000F76D0000}"/>
    <cellStyle name="Normal 97 2" xfId="23456" xr:uid="{00000000-0005-0000-0000-0000F86D0000}"/>
    <cellStyle name="Normal 97 2 2" xfId="27194" xr:uid="{00000000-0005-0000-0000-0000F96D0000}"/>
    <cellStyle name="Normal 97 2 3" xfId="27126" xr:uid="{00000000-0005-0000-0000-0000FA6D0000}"/>
    <cellStyle name="Normal 97 2 4" xfId="27141" xr:uid="{00000000-0005-0000-0000-0000FB6D0000}"/>
    <cellStyle name="Normal 97 2 5" xfId="27142" xr:uid="{00000000-0005-0000-0000-0000FC6D0000}"/>
    <cellStyle name="Normal 97 2 6" xfId="27176" xr:uid="{00000000-0005-0000-0000-0000FD6D0000}"/>
    <cellStyle name="Normal 97 2 7" xfId="27226" xr:uid="{00000000-0005-0000-0000-0000FE6D0000}"/>
    <cellStyle name="Normal 97 3" xfId="25005" xr:uid="{00000000-0005-0000-0000-0000FF6D0000}"/>
    <cellStyle name="Normal 97 3 2" xfId="27204" xr:uid="{00000000-0005-0000-0000-0000006E0000}"/>
    <cellStyle name="Normal 97 3 3" xfId="26685" xr:uid="{00000000-0005-0000-0000-0000016E0000}"/>
    <cellStyle name="Normal 97 3 4" xfId="27128" xr:uid="{00000000-0005-0000-0000-0000026E0000}"/>
    <cellStyle name="Normal 97 3 5" xfId="27092" xr:uid="{00000000-0005-0000-0000-0000036E0000}"/>
    <cellStyle name="Normal 97 3 6" xfId="27169" xr:uid="{00000000-0005-0000-0000-0000046E0000}"/>
    <cellStyle name="Normal 97 3 7" xfId="27174" xr:uid="{00000000-0005-0000-0000-0000056E0000}"/>
    <cellStyle name="Normal 98" xfId="19517" xr:uid="{00000000-0005-0000-0000-0000066E0000}"/>
    <cellStyle name="Normal 99" xfId="19499" xr:uid="{00000000-0005-0000-0000-0000076E0000}"/>
    <cellStyle name="Note" xfId="18053" xr:uid="{00000000-0005-0000-0000-0000086E0000}"/>
    <cellStyle name="Output" xfId="12" builtinId="21" customBuiltin="1"/>
    <cellStyle name="Output 2" xfId="545" xr:uid="{00000000-0005-0000-0000-00000A6E0000}"/>
    <cellStyle name="Output 2 2" xfId="18013" xr:uid="{00000000-0005-0000-0000-00000B6E0000}"/>
    <cellStyle name="Output 2 2 2" xfId="27293" xr:uid="{00000000-0005-0000-0000-00000C6E0000}"/>
    <cellStyle name="Output 2 3" xfId="18165" xr:uid="{00000000-0005-0000-0000-00000D6E0000}"/>
    <cellStyle name="Output 2 3 2" xfId="29736" xr:uid="{00000000-0005-0000-0000-00000E6E0000}"/>
    <cellStyle name="Output 2 4" xfId="27397" xr:uid="{00000000-0005-0000-0000-00000F6E0000}"/>
    <cellStyle name="Output 3" xfId="544" xr:uid="{00000000-0005-0000-0000-0000106E0000}"/>
    <cellStyle name="Output 3 2" xfId="17957" xr:uid="{00000000-0005-0000-0000-0000116E0000}"/>
    <cellStyle name="Output 3 2 2" xfId="29717" xr:uid="{00000000-0005-0000-0000-0000126E0000}"/>
    <cellStyle name="Output 3 3" xfId="17959" xr:uid="{00000000-0005-0000-0000-0000136E0000}"/>
    <cellStyle name="Output 3 3 2" xfId="29718" xr:uid="{00000000-0005-0000-0000-0000146E0000}"/>
    <cellStyle name="Output 3 4" xfId="17952" xr:uid="{00000000-0005-0000-0000-0000156E0000}"/>
    <cellStyle name="Output 3 4 2" xfId="29716" xr:uid="{00000000-0005-0000-0000-0000166E0000}"/>
    <cellStyle name="Output 3 5" xfId="17962" xr:uid="{00000000-0005-0000-0000-0000176E0000}"/>
    <cellStyle name="Output 3 5 2" xfId="29719" xr:uid="{00000000-0005-0000-0000-0000186E0000}"/>
    <cellStyle name="Output 3 6" xfId="18197" xr:uid="{00000000-0005-0000-0000-0000196E0000}"/>
    <cellStyle name="Output 3 7" xfId="28463" xr:uid="{00000000-0005-0000-0000-00001A6E0000}"/>
    <cellStyle name="Output 3 8" xfId="29387" xr:uid="{00000000-0005-0000-0000-00001B6E0000}"/>
    <cellStyle name="Output 4" xfId="18289" xr:uid="{00000000-0005-0000-0000-00001C6E0000}"/>
    <cellStyle name="Output 4 2" xfId="27290" xr:uid="{00000000-0005-0000-0000-00001D6E0000}"/>
    <cellStyle name="Output 4 2 2" xfId="29766" xr:uid="{00000000-0005-0000-0000-00001E6E0000}"/>
    <cellStyle name="Output 4 3" xfId="27550" xr:uid="{00000000-0005-0000-0000-00001F6E0000}"/>
    <cellStyle name="Output 4 4" xfId="27536" xr:uid="{00000000-0005-0000-0000-0000206E0000}"/>
    <cellStyle name="Output 5" xfId="18316" xr:uid="{00000000-0005-0000-0000-0000216E0000}"/>
    <cellStyle name="Output 6" xfId="18474" xr:uid="{00000000-0005-0000-0000-0000226E0000}"/>
    <cellStyle name="Output 7" xfId="18054" xr:uid="{00000000-0005-0000-0000-0000236E0000}"/>
    <cellStyle name="Output 7 2" xfId="29724" xr:uid="{00000000-0005-0000-0000-0000246E0000}"/>
    <cellStyle name="Output 8" xfId="28462" xr:uid="{00000000-0005-0000-0000-0000256E0000}"/>
    <cellStyle name="Output 9" xfId="29386" xr:uid="{00000000-0005-0000-0000-0000266E0000}"/>
    <cellStyle name="Overskrift 1" xfId="4" builtinId="16" customBuiltin="1"/>
    <cellStyle name="Overskrift 1 2" xfId="547" xr:uid="{00000000-0005-0000-0000-0000286E0000}"/>
    <cellStyle name="Overskrift 1 2 2" xfId="18014" xr:uid="{00000000-0005-0000-0000-0000296E0000}"/>
    <cellStyle name="Overskrift 1 2 2 2" xfId="18660" xr:uid="{00000000-0005-0000-0000-00002A6E0000}"/>
    <cellStyle name="Overskrift 1 2 3" xfId="27389" xr:uid="{00000000-0005-0000-0000-00002B6E0000}"/>
    <cellStyle name="Overskrift 1 3" xfId="546" xr:uid="{00000000-0005-0000-0000-00002C6E0000}"/>
    <cellStyle name="Overskrift 1 3 2" xfId="18317" xr:uid="{00000000-0005-0000-0000-00002D6E0000}"/>
    <cellStyle name="Overskrift 1 4" xfId="18475" xr:uid="{00000000-0005-0000-0000-00002E6E0000}"/>
    <cellStyle name="Overskrift 1 4 2" xfId="27294" xr:uid="{00000000-0005-0000-0000-00002F6E0000}"/>
    <cellStyle name="Overskrift 2" xfId="5" builtinId="17" customBuiltin="1"/>
    <cellStyle name="Overskrift 2 2" xfId="549" xr:uid="{00000000-0005-0000-0000-0000316E0000}"/>
    <cellStyle name="Overskrift 2 2 2" xfId="18015" xr:uid="{00000000-0005-0000-0000-0000326E0000}"/>
    <cellStyle name="Overskrift 2 2 2 2" xfId="21450" xr:uid="{00000000-0005-0000-0000-0000336E0000}"/>
    <cellStyle name="Overskrift 2 2 3" xfId="27390" xr:uid="{00000000-0005-0000-0000-0000346E0000}"/>
    <cellStyle name="Overskrift 2 3" xfId="548" xr:uid="{00000000-0005-0000-0000-0000356E0000}"/>
    <cellStyle name="Overskrift 2 3 2" xfId="18318" xr:uid="{00000000-0005-0000-0000-0000366E0000}"/>
    <cellStyle name="Overskrift 2 4" xfId="18476" xr:uid="{00000000-0005-0000-0000-0000376E0000}"/>
    <cellStyle name="Overskrift 2 4 2" xfId="19144" xr:uid="{00000000-0005-0000-0000-0000386E0000}"/>
    <cellStyle name="Overskrift 3" xfId="6" builtinId="18" customBuiltin="1"/>
    <cellStyle name="Overskrift 3 2" xfId="551" xr:uid="{00000000-0005-0000-0000-00003A6E0000}"/>
    <cellStyle name="Overskrift 3 2 2" xfId="18016" xr:uid="{00000000-0005-0000-0000-00003B6E0000}"/>
    <cellStyle name="Overskrift 3 2 2 2" xfId="27270" xr:uid="{00000000-0005-0000-0000-00003C6E0000}"/>
    <cellStyle name="Overskrift 3 2 3" xfId="27391" xr:uid="{00000000-0005-0000-0000-00003D6E0000}"/>
    <cellStyle name="Overskrift 3 3" xfId="550" xr:uid="{00000000-0005-0000-0000-00003E6E0000}"/>
    <cellStyle name="Overskrift 3 3 2" xfId="18319" xr:uid="{00000000-0005-0000-0000-00003F6E0000}"/>
    <cellStyle name="Overskrift 3 4" xfId="18477" xr:uid="{00000000-0005-0000-0000-0000406E0000}"/>
    <cellStyle name="Overskrift 3 4 2" xfId="27276" xr:uid="{00000000-0005-0000-0000-0000416E0000}"/>
    <cellStyle name="Overskrift 4" xfId="7" builtinId="19" customBuiltin="1"/>
    <cellStyle name="Overskrift 4 2" xfId="553" xr:uid="{00000000-0005-0000-0000-0000436E0000}"/>
    <cellStyle name="Overskrift 4 2 2" xfId="18017" xr:uid="{00000000-0005-0000-0000-0000446E0000}"/>
    <cellStyle name="Overskrift 4 2 2 2" xfId="27251" xr:uid="{00000000-0005-0000-0000-0000456E0000}"/>
    <cellStyle name="Overskrift 4 2 3" xfId="27392" xr:uid="{00000000-0005-0000-0000-0000466E0000}"/>
    <cellStyle name="Overskrift 4 3" xfId="552" xr:uid="{00000000-0005-0000-0000-0000476E0000}"/>
    <cellStyle name="Overskrift 4 3 2" xfId="18320" xr:uid="{00000000-0005-0000-0000-0000486E0000}"/>
    <cellStyle name="Overskrift 4 4" xfId="18478" xr:uid="{00000000-0005-0000-0000-0000496E0000}"/>
    <cellStyle name="Overskrift 4 4 2" xfId="27259" xr:uid="{00000000-0005-0000-0000-00004A6E0000}"/>
    <cellStyle name="Percent 2" xfId="47" xr:uid="{00000000-0005-0000-0000-00004B6E0000}"/>
    <cellStyle name="Procent 10" xfId="1227" xr:uid="{00000000-0005-0000-0000-00004C6E0000}"/>
    <cellStyle name="Procent 10 2" xfId="26444" xr:uid="{00000000-0005-0000-0000-00004D6E0000}"/>
    <cellStyle name="Procent 11" xfId="1222" xr:uid="{00000000-0005-0000-0000-00004E6E0000}"/>
    <cellStyle name="Procent 11 2" xfId="18055" xr:uid="{00000000-0005-0000-0000-00004F6E0000}"/>
    <cellStyle name="Procent 11 3" xfId="27447" xr:uid="{00000000-0005-0000-0000-0000506E0000}"/>
    <cellStyle name="Procent 12" xfId="1070" xr:uid="{00000000-0005-0000-0000-0000516E0000}"/>
    <cellStyle name="Procent 13" xfId="2525" xr:uid="{00000000-0005-0000-0000-0000526E0000}"/>
    <cellStyle name="Procent 13 2" xfId="6914" xr:uid="{00000000-0005-0000-0000-0000536E0000}"/>
    <cellStyle name="Procent 13 2 2" xfId="15735" xr:uid="{00000000-0005-0000-0000-0000546E0000}"/>
    <cellStyle name="Procent 13 3" xfId="11328" xr:uid="{00000000-0005-0000-0000-0000556E0000}"/>
    <cellStyle name="Procent 14" xfId="4696" xr:uid="{00000000-0005-0000-0000-0000566E0000}"/>
    <cellStyle name="Procent 15" xfId="4715" xr:uid="{00000000-0005-0000-0000-0000576E0000}"/>
    <cellStyle name="Procent 15 2" xfId="9119" xr:uid="{00000000-0005-0000-0000-0000586E0000}"/>
    <cellStyle name="Procent 16" xfId="4721" xr:uid="{00000000-0005-0000-0000-0000596E0000}"/>
    <cellStyle name="Procent 17" xfId="9125" xr:uid="{00000000-0005-0000-0000-00005A6E0000}"/>
    <cellStyle name="Procent 18" xfId="17939" xr:uid="{00000000-0005-0000-0000-00005B6E0000}"/>
    <cellStyle name="Procent 18 2" xfId="17942" xr:uid="{00000000-0005-0000-0000-00005C6E0000}"/>
    <cellStyle name="Procent 19" xfId="28464" xr:uid="{00000000-0005-0000-0000-00005D6E0000}"/>
    <cellStyle name="Procent 2" xfId="54" xr:uid="{00000000-0005-0000-0000-00005E6E0000}"/>
    <cellStyle name="Procent 3" xfId="69" xr:uid="{00000000-0005-0000-0000-00005F6E0000}"/>
    <cellStyle name="Procent 3 2" xfId="135" xr:uid="{00000000-0005-0000-0000-0000606E0000}"/>
    <cellStyle name="Procent 3 2 2" xfId="1230" xr:uid="{00000000-0005-0000-0000-0000616E0000}"/>
    <cellStyle name="Procent 3 2 3" xfId="27326" xr:uid="{00000000-0005-0000-0000-0000626E0000}"/>
    <cellStyle name="Procent 3 3" xfId="554" xr:uid="{00000000-0005-0000-0000-0000636E0000}"/>
    <cellStyle name="Procent 3 3 2" xfId="6930" xr:uid="{00000000-0005-0000-0000-0000646E0000}"/>
    <cellStyle name="Procent 3 3 2 2" xfId="15751" xr:uid="{00000000-0005-0000-0000-0000656E0000}"/>
    <cellStyle name="Procent 3 3 3" xfId="11344" xr:uid="{00000000-0005-0000-0000-0000666E0000}"/>
    <cellStyle name="Procent 3 3 4" xfId="28466" xr:uid="{00000000-0005-0000-0000-0000676E0000}"/>
    <cellStyle name="Procent 3 3 5" xfId="29389" xr:uid="{00000000-0005-0000-0000-0000686E0000}"/>
    <cellStyle name="Procent 3 4" xfId="1151" xr:uid="{00000000-0005-0000-0000-0000696E0000}"/>
    <cellStyle name="Procent 3 4 2" xfId="13546" xr:uid="{00000000-0005-0000-0000-00006A6E0000}"/>
    <cellStyle name="Procent 3 4 3" xfId="4716" xr:uid="{00000000-0005-0000-0000-00006B6E0000}"/>
    <cellStyle name="Procent 3 4 4" xfId="27287" xr:uid="{00000000-0005-0000-0000-00006C6E0000}"/>
    <cellStyle name="Procent 3 4 5" xfId="27509" xr:uid="{00000000-0005-0000-0000-00006D6E0000}"/>
    <cellStyle name="Procent 3 5" xfId="4729" xr:uid="{00000000-0005-0000-0000-00006E6E0000}"/>
    <cellStyle name="Procent 3 5 2" xfId="27238" xr:uid="{00000000-0005-0000-0000-00006F6E0000}"/>
    <cellStyle name="Procent 3 6" xfId="28465" xr:uid="{00000000-0005-0000-0000-0000706E0000}"/>
    <cellStyle name="Procent 3 7" xfId="29388" xr:uid="{00000000-0005-0000-0000-0000716E0000}"/>
    <cellStyle name="Procent 4" xfId="100" xr:uid="{00000000-0005-0000-0000-0000726E0000}"/>
    <cellStyle name="Procent 4 10" xfId="1351" xr:uid="{00000000-0005-0000-0000-0000736E0000}"/>
    <cellStyle name="Procent 4 10 2" xfId="3251" xr:uid="{00000000-0005-0000-0000-0000746E0000}"/>
    <cellStyle name="Procent 4 10 2 2" xfId="7645" xr:uid="{00000000-0005-0000-0000-0000756E0000}"/>
    <cellStyle name="Procent 4 10 2 2 2" xfId="16466" xr:uid="{00000000-0005-0000-0000-0000766E0000}"/>
    <cellStyle name="Procent 4 10 2 3" xfId="12059" xr:uid="{00000000-0005-0000-0000-0000776E0000}"/>
    <cellStyle name="Procent 4 10 3" xfId="5440" xr:uid="{00000000-0005-0000-0000-0000786E0000}"/>
    <cellStyle name="Procent 4 10 3 2" xfId="14261" xr:uid="{00000000-0005-0000-0000-0000796E0000}"/>
    <cellStyle name="Procent 4 10 4" xfId="9854" xr:uid="{00000000-0005-0000-0000-00007A6E0000}"/>
    <cellStyle name="Procent 4 11" xfId="2548" xr:uid="{00000000-0005-0000-0000-00007B6E0000}"/>
    <cellStyle name="Procent 4 11 2" xfId="6940" xr:uid="{00000000-0005-0000-0000-00007C6E0000}"/>
    <cellStyle name="Procent 4 11 2 2" xfId="15761" xr:uid="{00000000-0005-0000-0000-00007D6E0000}"/>
    <cellStyle name="Procent 4 11 3" xfId="11354" xr:uid="{00000000-0005-0000-0000-00007E6E0000}"/>
    <cellStyle name="Procent 4 12" xfId="4727" xr:uid="{00000000-0005-0000-0000-00007F6E0000}"/>
    <cellStyle name="Procent 4 12 2" xfId="13549" xr:uid="{00000000-0005-0000-0000-0000806E0000}"/>
    <cellStyle name="Procent 4 13" xfId="9129" xr:uid="{00000000-0005-0000-0000-0000816E0000}"/>
    <cellStyle name="Procent 4 14" xfId="1171" xr:uid="{00000000-0005-0000-0000-0000826E0000}"/>
    <cellStyle name="Procent 4 15" xfId="18018" xr:uid="{00000000-0005-0000-0000-0000836E0000}"/>
    <cellStyle name="Procent 4 16" xfId="18190" xr:uid="{00000000-0005-0000-0000-0000846E0000}"/>
    <cellStyle name="Procent 4 2" xfId="1250" xr:uid="{00000000-0005-0000-0000-0000856E0000}"/>
    <cellStyle name="Procent 4 2 2" xfId="18194" xr:uid="{00000000-0005-0000-0000-0000866E0000}"/>
    <cellStyle name="Procent 4 2 3" xfId="27268" xr:uid="{00000000-0005-0000-0000-0000876E0000}"/>
    <cellStyle name="Procent 4 2 4" xfId="27515" xr:uid="{00000000-0005-0000-0000-0000886E0000}"/>
    <cellStyle name="Procent 4 3" xfId="1323" xr:uid="{00000000-0005-0000-0000-0000896E0000}"/>
    <cellStyle name="Procent 4 3 10" xfId="9136" xr:uid="{00000000-0005-0000-0000-00008A6E0000}"/>
    <cellStyle name="Procent 4 3 2" xfId="1301" xr:uid="{00000000-0005-0000-0000-00008B6E0000}"/>
    <cellStyle name="Procent 4 3 2 2" xfId="1145" xr:uid="{00000000-0005-0000-0000-00008C6E0000}"/>
    <cellStyle name="Procent 4 3 2 2 2" xfId="1111" xr:uid="{00000000-0005-0000-0000-00008D6E0000}"/>
    <cellStyle name="Procent 4 3 2 2 2 2" xfId="1339" xr:uid="{00000000-0005-0000-0000-00008E6E0000}"/>
    <cellStyle name="Procent 4 3 2 2 2 2 2" xfId="2501" xr:uid="{00000000-0005-0000-0000-00008F6E0000}"/>
    <cellStyle name="Procent 4 3 2 2 2 2 2 2" xfId="4672" xr:uid="{00000000-0005-0000-0000-0000906E0000}"/>
    <cellStyle name="Procent 4 3 2 2 2 2 2 2 2" xfId="9095" xr:uid="{00000000-0005-0000-0000-0000916E0000}"/>
    <cellStyle name="Procent 4 3 2 2 2 2 2 2 2 2" xfId="17916" xr:uid="{00000000-0005-0000-0000-0000926E0000}"/>
    <cellStyle name="Procent 4 3 2 2 2 2 2 2 3" xfId="13509" xr:uid="{00000000-0005-0000-0000-0000936E0000}"/>
    <cellStyle name="Procent 4 3 2 2 2 2 2 3" xfId="6890" xr:uid="{00000000-0005-0000-0000-0000946E0000}"/>
    <cellStyle name="Procent 4 3 2 2 2 2 2 3 2" xfId="15711" xr:uid="{00000000-0005-0000-0000-0000956E0000}"/>
    <cellStyle name="Procent 4 3 2 2 2 2 2 4" xfId="11304" xr:uid="{00000000-0005-0000-0000-0000966E0000}"/>
    <cellStyle name="Procent 4 3 2 2 2 2 3" xfId="2006" xr:uid="{00000000-0005-0000-0000-0000976E0000}"/>
    <cellStyle name="Procent 4 3 2 2 2 2 3 2" xfId="3963" xr:uid="{00000000-0005-0000-0000-0000986E0000}"/>
    <cellStyle name="Procent 4 3 2 2 2 2 3 2 2" xfId="8357" xr:uid="{00000000-0005-0000-0000-0000996E0000}"/>
    <cellStyle name="Procent 4 3 2 2 2 2 3 2 2 2" xfId="17178" xr:uid="{00000000-0005-0000-0000-00009A6E0000}"/>
    <cellStyle name="Procent 4 3 2 2 2 2 3 2 3" xfId="12771" xr:uid="{00000000-0005-0000-0000-00009B6E0000}"/>
    <cellStyle name="Procent 4 3 2 2 2 2 3 3" xfId="6152" xr:uid="{00000000-0005-0000-0000-00009C6E0000}"/>
    <cellStyle name="Procent 4 3 2 2 2 2 3 3 2" xfId="14973" xr:uid="{00000000-0005-0000-0000-00009D6E0000}"/>
    <cellStyle name="Procent 4 3 2 2 2 2 3 4" xfId="10566" xr:uid="{00000000-0005-0000-0000-00009E6E0000}"/>
    <cellStyle name="Procent 4 3 2 2 2 2 4" xfId="3226" xr:uid="{00000000-0005-0000-0000-00009F6E0000}"/>
    <cellStyle name="Procent 4 3 2 2 2 2 4 2" xfId="7620" xr:uid="{00000000-0005-0000-0000-0000A06E0000}"/>
    <cellStyle name="Procent 4 3 2 2 2 2 4 2 2" xfId="16441" xr:uid="{00000000-0005-0000-0000-0000A16E0000}"/>
    <cellStyle name="Procent 4 3 2 2 2 2 4 3" xfId="12034" xr:uid="{00000000-0005-0000-0000-0000A26E0000}"/>
    <cellStyle name="Procent 4 3 2 2 2 2 5" xfId="5415" xr:uid="{00000000-0005-0000-0000-0000A36E0000}"/>
    <cellStyle name="Procent 4 3 2 2 2 2 5 2" xfId="14236" xr:uid="{00000000-0005-0000-0000-0000A46E0000}"/>
    <cellStyle name="Procent 4 3 2 2 2 2 6" xfId="9829" xr:uid="{00000000-0005-0000-0000-0000A56E0000}"/>
    <cellStyle name="Procent 4 3 2 2 2 3" xfId="2240" xr:uid="{00000000-0005-0000-0000-0000A66E0000}"/>
    <cellStyle name="Procent 4 3 2 2 2 3 2" xfId="4317" xr:uid="{00000000-0005-0000-0000-0000A76E0000}"/>
    <cellStyle name="Procent 4 3 2 2 2 3 2 2" xfId="8726" xr:uid="{00000000-0005-0000-0000-0000A86E0000}"/>
    <cellStyle name="Procent 4 3 2 2 2 3 2 2 2" xfId="17547" xr:uid="{00000000-0005-0000-0000-0000A96E0000}"/>
    <cellStyle name="Procent 4 3 2 2 2 3 2 3" xfId="13140" xr:uid="{00000000-0005-0000-0000-0000AA6E0000}"/>
    <cellStyle name="Procent 4 3 2 2 2 3 3" xfId="6521" xr:uid="{00000000-0005-0000-0000-0000AB6E0000}"/>
    <cellStyle name="Procent 4 3 2 2 2 3 3 2" xfId="15342" xr:uid="{00000000-0005-0000-0000-0000AC6E0000}"/>
    <cellStyle name="Procent 4 3 2 2 2 3 4" xfId="10935" xr:uid="{00000000-0005-0000-0000-0000AD6E0000}"/>
    <cellStyle name="Procent 4 3 2 2 2 4" xfId="1651" xr:uid="{00000000-0005-0000-0000-0000AE6E0000}"/>
    <cellStyle name="Procent 4 3 2 2 2 4 2" xfId="3594" xr:uid="{00000000-0005-0000-0000-0000AF6E0000}"/>
    <cellStyle name="Procent 4 3 2 2 2 4 2 2" xfId="7988" xr:uid="{00000000-0005-0000-0000-0000B06E0000}"/>
    <cellStyle name="Procent 4 3 2 2 2 4 2 2 2" xfId="16809" xr:uid="{00000000-0005-0000-0000-0000B16E0000}"/>
    <cellStyle name="Procent 4 3 2 2 2 4 2 3" xfId="12402" xr:uid="{00000000-0005-0000-0000-0000B26E0000}"/>
    <cellStyle name="Procent 4 3 2 2 2 4 3" xfId="5783" xr:uid="{00000000-0005-0000-0000-0000B36E0000}"/>
    <cellStyle name="Procent 4 3 2 2 2 4 3 2" xfId="14604" xr:uid="{00000000-0005-0000-0000-0000B46E0000}"/>
    <cellStyle name="Procent 4 3 2 2 2 4 4" xfId="10197" xr:uid="{00000000-0005-0000-0000-0000B56E0000}"/>
    <cellStyle name="Procent 4 3 2 2 2 5" xfId="2857" xr:uid="{00000000-0005-0000-0000-0000B66E0000}"/>
    <cellStyle name="Procent 4 3 2 2 2 5 2" xfId="7251" xr:uid="{00000000-0005-0000-0000-0000B76E0000}"/>
    <cellStyle name="Procent 4 3 2 2 2 5 2 2" xfId="16072" xr:uid="{00000000-0005-0000-0000-0000B86E0000}"/>
    <cellStyle name="Procent 4 3 2 2 2 5 3" xfId="11665" xr:uid="{00000000-0005-0000-0000-0000B96E0000}"/>
    <cellStyle name="Procent 4 3 2 2 2 6" xfId="5046" xr:uid="{00000000-0005-0000-0000-0000BA6E0000}"/>
    <cellStyle name="Procent 4 3 2 2 2 6 2" xfId="13867" xr:uid="{00000000-0005-0000-0000-0000BB6E0000}"/>
    <cellStyle name="Procent 4 3 2 2 2 7" xfId="9460" xr:uid="{00000000-0005-0000-0000-0000BC6E0000}"/>
    <cellStyle name="Procent 4 3 2 2 3" xfId="1152" xr:uid="{00000000-0005-0000-0000-0000BD6E0000}"/>
    <cellStyle name="Procent 4 3 2 2 3 2" xfId="2370" xr:uid="{00000000-0005-0000-0000-0000BE6E0000}"/>
    <cellStyle name="Procent 4 3 2 2 3 2 2" xfId="4488" xr:uid="{00000000-0005-0000-0000-0000BF6E0000}"/>
    <cellStyle name="Procent 4 3 2 2 3 2 2 2" xfId="8910" xr:uid="{00000000-0005-0000-0000-0000C06E0000}"/>
    <cellStyle name="Procent 4 3 2 2 3 2 2 2 2" xfId="17731" xr:uid="{00000000-0005-0000-0000-0000C16E0000}"/>
    <cellStyle name="Procent 4 3 2 2 3 2 2 3" xfId="13324" xr:uid="{00000000-0005-0000-0000-0000C26E0000}"/>
    <cellStyle name="Procent 4 3 2 2 3 2 3" xfId="6705" xr:uid="{00000000-0005-0000-0000-0000C36E0000}"/>
    <cellStyle name="Procent 4 3 2 2 3 2 3 2" xfId="15526" xr:uid="{00000000-0005-0000-0000-0000C46E0000}"/>
    <cellStyle name="Procent 4 3 2 2 3 2 4" xfId="11119" xr:uid="{00000000-0005-0000-0000-0000C56E0000}"/>
    <cellStyle name="Procent 4 3 2 2 3 3" xfId="1822" xr:uid="{00000000-0005-0000-0000-0000C66E0000}"/>
    <cellStyle name="Procent 4 3 2 2 3 3 2" xfId="3778" xr:uid="{00000000-0005-0000-0000-0000C76E0000}"/>
    <cellStyle name="Procent 4 3 2 2 3 3 2 2" xfId="8172" xr:uid="{00000000-0005-0000-0000-0000C86E0000}"/>
    <cellStyle name="Procent 4 3 2 2 3 3 2 2 2" xfId="16993" xr:uid="{00000000-0005-0000-0000-0000C96E0000}"/>
    <cellStyle name="Procent 4 3 2 2 3 3 2 3" xfId="12586" xr:uid="{00000000-0005-0000-0000-0000CA6E0000}"/>
    <cellStyle name="Procent 4 3 2 2 3 3 3" xfId="5967" xr:uid="{00000000-0005-0000-0000-0000CB6E0000}"/>
    <cellStyle name="Procent 4 3 2 2 3 3 3 2" xfId="14788" xr:uid="{00000000-0005-0000-0000-0000CC6E0000}"/>
    <cellStyle name="Procent 4 3 2 2 3 3 4" xfId="10381" xr:uid="{00000000-0005-0000-0000-0000CD6E0000}"/>
    <cellStyle name="Procent 4 3 2 2 3 4" xfId="3041" xr:uid="{00000000-0005-0000-0000-0000CE6E0000}"/>
    <cellStyle name="Procent 4 3 2 2 3 4 2" xfId="7435" xr:uid="{00000000-0005-0000-0000-0000CF6E0000}"/>
    <cellStyle name="Procent 4 3 2 2 3 4 2 2" xfId="16256" xr:uid="{00000000-0005-0000-0000-0000D06E0000}"/>
    <cellStyle name="Procent 4 3 2 2 3 4 3" xfId="11849" xr:uid="{00000000-0005-0000-0000-0000D16E0000}"/>
    <cellStyle name="Procent 4 3 2 2 3 5" xfId="5230" xr:uid="{00000000-0005-0000-0000-0000D26E0000}"/>
    <cellStyle name="Procent 4 3 2 2 3 5 2" xfId="14051" xr:uid="{00000000-0005-0000-0000-0000D36E0000}"/>
    <cellStyle name="Procent 4 3 2 2 3 6" xfId="9644" xr:uid="{00000000-0005-0000-0000-0000D46E0000}"/>
    <cellStyle name="Procent 4 3 2 2 4" xfId="2109" xr:uid="{00000000-0005-0000-0000-0000D56E0000}"/>
    <cellStyle name="Procent 4 3 2 2 4 2" xfId="4133" xr:uid="{00000000-0005-0000-0000-0000D66E0000}"/>
    <cellStyle name="Procent 4 3 2 2 4 2 2" xfId="8541" xr:uid="{00000000-0005-0000-0000-0000D76E0000}"/>
    <cellStyle name="Procent 4 3 2 2 4 2 2 2" xfId="17362" xr:uid="{00000000-0005-0000-0000-0000D86E0000}"/>
    <cellStyle name="Procent 4 3 2 2 4 2 3" xfId="12955" xr:uid="{00000000-0005-0000-0000-0000D96E0000}"/>
    <cellStyle name="Procent 4 3 2 2 4 3" xfId="6336" xr:uid="{00000000-0005-0000-0000-0000DA6E0000}"/>
    <cellStyle name="Procent 4 3 2 2 4 3 2" xfId="15157" xr:uid="{00000000-0005-0000-0000-0000DB6E0000}"/>
    <cellStyle name="Procent 4 3 2 2 4 4" xfId="10750" xr:uid="{00000000-0005-0000-0000-0000DC6E0000}"/>
    <cellStyle name="Procent 4 3 2 2 5" xfId="1467" xr:uid="{00000000-0005-0000-0000-0000DD6E0000}"/>
    <cellStyle name="Procent 4 3 2 2 5 2" xfId="3409" xr:uid="{00000000-0005-0000-0000-0000DE6E0000}"/>
    <cellStyle name="Procent 4 3 2 2 5 2 2" xfId="7803" xr:uid="{00000000-0005-0000-0000-0000DF6E0000}"/>
    <cellStyle name="Procent 4 3 2 2 5 2 2 2" xfId="16624" xr:uid="{00000000-0005-0000-0000-0000E06E0000}"/>
    <cellStyle name="Procent 4 3 2 2 5 2 3" xfId="12217" xr:uid="{00000000-0005-0000-0000-0000E16E0000}"/>
    <cellStyle name="Procent 4 3 2 2 5 3" xfId="5598" xr:uid="{00000000-0005-0000-0000-0000E26E0000}"/>
    <cellStyle name="Procent 4 3 2 2 5 3 2" xfId="14419" xr:uid="{00000000-0005-0000-0000-0000E36E0000}"/>
    <cellStyle name="Procent 4 3 2 2 5 4" xfId="10012" xr:uid="{00000000-0005-0000-0000-0000E46E0000}"/>
    <cellStyle name="Procent 4 3 2 2 6" xfId="2673" xr:uid="{00000000-0005-0000-0000-0000E56E0000}"/>
    <cellStyle name="Procent 4 3 2 2 6 2" xfId="7066" xr:uid="{00000000-0005-0000-0000-0000E66E0000}"/>
    <cellStyle name="Procent 4 3 2 2 6 2 2" xfId="15887" xr:uid="{00000000-0005-0000-0000-0000E76E0000}"/>
    <cellStyle name="Procent 4 3 2 2 6 3" xfId="11480" xr:uid="{00000000-0005-0000-0000-0000E86E0000}"/>
    <cellStyle name="Procent 4 3 2 2 7" xfId="4861" xr:uid="{00000000-0005-0000-0000-0000E96E0000}"/>
    <cellStyle name="Procent 4 3 2 2 7 2" xfId="13682" xr:uid="{00000000-0005-0000-0000-0000EA6E0000}"/>
    <cellStyle name="Procent 4 3 2 2 8" xfId="9275" xr:uid="{00000000-0005-0000-0000-0000EB6E0000}"/>
    <cellStyle name="Procent 4 3 2 3" xfId="1091" xr:uid="{00000000-0005-0000-0000-0000EC6E0000}"/>
    <cellStyle name="Procent 4 3 2 3 2" xfId="1234" xr:uid="{00000000-0005-0000-0000-0000ED6E0000}"/>
    <cellStyle name="Procent 4 3 2 3 2 2" xfId="2436" xr:uid="{00000000-0005-0000-0000-0000EE6E0000}"/>
    <cellStyle name="Procent 4 3 2 3 2 2 2" xfId="4580" xr:uid="{00000000-0005-0000-0000-0000EF6E0000}"/>
    <cellStyle name="Procent 4 3 2 3 2 2 2 2" xfId="9003" xr:uid="{00000000-0005-0000-0000-0000F06E0000}"/>
    <cellStyle name="Procent 4 3 2 3 2 2 2 2 2" xfId="17824" xr:uid="{00000000-0005-0000-0000-0000F16E0000}"/>
    <cellStyle name="Procent 4 3 2 3 2 2 2 3" xfId="13417" xr:uid="{00000000-0005-0000-0000-0000F26E0000}"/>
    <cellStyle name="Procent 4 3 2 3 2 2 3" xfId="6798" xr:uid="{00000000-0005-0000-0000-0000F36E0000}"/>
    <cellStyle name="Procent 4 3 2 3 2 2 3 2" xfId="15619" xr:uid="{00000000-0005-0000-0000-0000F46E0000}"/>
    <cellStyle name="Procent 4 3 2 3 2 2 4" xfId="11212" xr:uid="{00000000-0005-0000-0000-0000F56E0000}"/>
    <cellStyle name="Procent 4 3 2 3 2 3" xfId="1914" xr:uid="{00000000-0005-0000-0000-0000F66E0000}"/>
    <cellStyle name="Procent 4 3 2 3 2 3 2" xfId="3871" xr:uid="{00000000-0005-0000-0000-0000F76E0000}"/>
    <cellStyle name="Procent 4 3 2 3 2 3 2 2" xfId="8265" xr:uid="{00000000-0005-0000-0000-0000F86E0000}"/>
    <cellStyle name="Procent 4 3 2 3 2 3 2 2 2" xfId="17086" xr:uid="{00000000-0005-0000-0000-0000F96E0000}"/>
    <cellStyle name="Procent 4 3 2 3 2 3 2 3" xfId="12679" xr:uid="{00000000-0005-0000-0000-0000FA6E0000}"/>
    <cellStyle name="Procent 4 3 2 3 2 3 3" xfId="6060" xr:uid="{00000000-0005-0000-0000-0000FB6E0000}"/>
    <cellStyle name="Procent 4 3 2 3 2 3 3 2" xfId="14881" xr:uid="{00000000-0005-0000-0000-0000FC6E0000}"/>
    <cellStyle name="Procent 4 3 2 3 2 3 4" xfId="10474" xr:uid="{00000000-0005-0000-0000-0000FD6E0000}"/>
    <cellStyle name="Procent 4 3 2 3 2 4" xfId="3134" xr:uid="{00000000-0005-0000-0000-0000FE6E0000}"/>
    <cellStyle name="Procent 4 3 2 3 2 4 2" xfId="7528" xr:uid="{00000000-0005-0000-0000-0000FF6E0000}"/>
    <cellStyle name="Procent 4 3 2 3 2 4 2 2" xfId="16349" xr:uid="{00000000-0005-0000-0000-0000006F0000}"/>
    <cellStyle name="Procent 4 3 2 3 2 4 3" xfId="11942" xr:uid="{00000000-0005-0000-0000-0000016F0000}"/>
    <cellStyle name="Procent 4 3 2 3 2 5" xfId="5323" xr:uid="{00000000-0005-0000-0000-0000026F0000}"/>
    <cellStyle name="Procent 4 3 2 3 2 5 2" xfId="14144" xr:uid="{00000000-0005-0000-0000-0000036F0000}"/>
    <cellStyle name="Procent 4 3 2 3 2 6" xfId="9737" xr:uid="{00000000-0005-0000-0000-0000046F0000}"/>
    <cellStyle name="Procent 4 3 2 3 3" xfId="2175" xr:uid="{00000000-0005-0000-0000-0000056F0000}"/>
    <cellStyle name="Procent 4 3 2 3 3 2" xfId="4225" xr:uid="{00000000-0005-0000-0000-0000066F0000}"/>
    <cellStyle name="Procent 4 3 2 3 3 2 2" xfId="8634" xr:uid="{00000000-0005-0000-0000-0000076F0000}"/>
    <cellStyle name="Procent 4 3 2 3 3 2 2 2" xfId="17455" xr:uid="{00000000-0005-0000-0000-0000086F0000}"/>
    <cellStyle name="Procent 4 3 2 3 3 2 3" xfId="13048" xr:uid="{00000000-0005-0000-0000-0000096F0000}"/>
    <cellStyle name="Procent 4 3 2 3 3 3" xfId="6429" xr:uid="{00000000-0005-0000-0000-00000A6F0000}"/>
    <cellStyle name="Procent 4 3 2 3 3 3 2" xfId="15250" xr:uid="{00000000-0005-0000-0000-00000B6F0000}"/>
    <cellStyle name="Procent 4 3 2 3 3 4" xfId="10843" xr:uid="{00000000-0005-0000-0000-00000C6F0000}"/>
    <cellStyle name="Procent 4 3 2 3 4" xfId="1559" xr:uid="{00000000-0005-0000-0000-00000D6F0000}"/>
    <cellStyle name="Procent 4 3 2 3 4 2" xfId="3502" xr:uid="{00000000-0005-0000-0000-00000E6F0000}"/>
    <cellStyle name="Procent 4 3 2 3 4 2 2" xfId="7896" xr:uid="{00000000-0005-0000-0000-00000F6F0000}"/>
    <cellStyle name="Procent 4 3 2 3 4 2 2 2" xfId="16717" xr:uid="{00000000-0005-0000-0000-0000106F0000}"/>
    <cellStyle name="Procent 4 3 2 3 4 2 3" xfId="12310" xr:uid="{00000000-0005-0000-0000-0000116F0000}"/>
    <cellStyle name="Procent 4 3 2 3 4 3" xfId="5691" xr:uid="{00000000-0005-0000-0000-0000126F0000}"/>
    <cellStyle name="Procent 4 3 2 3 4 3 2" xfId="14512" xr:uid="{00000000-0005-0000-0000-0000136F0000}"/>
    <cellStyle name="Procent 4 3 2 3 4 4" xfId="10105" xr:uid="{00000000-0005-0000-0000-0000146F0000}"/>
    <cellStyle name="Procent 4 3 2 3 5" xfId="2765" xr:uid="{00000000-0005-0000-0000-0000156F0000}"/>
    <cellStyle name="Procent 4 3 2 3 5 2" xfId="7159" xr:uid="{00000000-0005-0000-0000-0000166F0000}"/>
    <cellStyle name="Procent 4 3 2 3 5 2 2" xfId="15980" xr:uid="{00000000-0005-0000-0000-0000176F0000}"/>
    <cellStyle name="Procent 4 3 2 3 5 3" xfId="11573" xr:uid="{00000000-0005-0000-0000-0000186F0000}"/>
    <cellStyle name="Procent 4 3 2 3 6" xfId="4954" xr:uid="{00000000-0005-0000-0000-0000196F0000}"/>
    <cellStyle name="Procent 4 3 2 3 6 2" xfId="13775" xr:uid="{00000000-0005-0000-0000-00001A6F0000}"/>
    <cellStyle name="Procent 4 3 2 3 7" xfId="9368" xr:uid="{00000000-0005-0000-0000-00001B6F0000}"/>
    <cellStyle name="Procent 4 3 2 4" xfId="1107" xr:uid="{00000000-0005-0000-0000-00001C6F0000}"/>
    <cellStyle name="Procent 4 3 2 4 2" xfId="2305" xr:uid="{00000000-0005-0000-0000-00001D6F0000}"/>
    <cellStyle name="Procent 4 3 2 4 2 2" xfId="4396" xr:uid="{00000000-0005-0000-0000-00001E6F0000}"/>
    <cellStyle name="Procent 4 3 2 4 2 2 2" xfId="8818" xr:uid="{00000000-0005-0000-0000-00001F6F0000}"/>
    <cellStyle name="Procent 4 3 2 4 2 2 2 2" xfId="17639" xr:uid="{00000000-0005-0000-0000-0000206F0000}"/>
    <cellStyle name="Procent 4 3 2 4 2 2 3" xfId="13232" xr:uid="{00000000-0005-0000-0000-0000216F0000}"/>
    <cellStyle name="Procent 4 3 2 4 2 3" xfId="6613" xr:uid="{00000000-0005-0000-0000-0000226F0000}"/>
    <cellStyle name="Procent 4 3 2 4 2 3 2" xfId="15434" xr:uid="{00000000-0005-0000-0000-0000236F0000}"/>
    <cellStyle name="Procent 4 3 2 4 2 4" xfId="11027" xr:uid="{00000000-0005-0000-0000-0000246F0000}"/>
    <cellStyle name="Procent 4 3 2 4 3" xfId="1730" xr:uid="{00000000-0005-0000-0000-0000256F0000}"/>
    <cellStyle name="Procent 4 3 2 4 3 2" xfId="3686" xr:uid="{00000000-0005-0000-0000-0000266F0000}"/>
    <cellStyle name="Procent 4 3 2 4 3 2 2" xfId="8080" xr:uid="{00000000-0005-0000-0000-0000276F0000}"/>
    <cellStyle name="Procent 4 3 2 4 3 2 2 2" xfId="16901" xr:uid="{00000000-0005-0000-0000-0000286F0000}"/>
    <cellStyle name="Procent 4 3 2 4 3 2 3" xfId="12494" xr:uid="{00000000-0005-0000-0000-0000296F0000}"/>
    <cellStyle name="Procent 4 3 2 4 3 3" xfId="5875" xr:uid="{00000000-0005-0000-0000-00002A6F0000}"/>
    <cellStyle name="Procent 4 3 2 4 3 3 2" xfId="14696" xr:uid="{00000000-0005-0000-0000-00002B6F0000}"/>
    <cellStyle name="Procent 4 3 2 4 3 4" xfId="10289" xr:uid="{00000000-0005-0000-0000-00002C6F0000}"/>
    <cellStyle name="Procent 4 3 2 4 4" xfId="2949" xr:uid="{00000000-0005-0000-0000-00002D6F0000}"/>
    <cellStyle name="Procent 4 3 2 4 4 2" xfId="7343" xr:uid="{00000000-0005-0000-0000-00002E6F0000}"/>
    <cellStyle name="Procent 4 3 2 4 4 2 2" xfId="16164" xr:uid="{00000000-0005-0000-0000-00002F6F0000}"/>
    <cellStyle name="Procent 4 3 2 4 4 3" xfId="11757" xr:uid="{00000000-0005-0000-0000-0000306F0000}"/>
    <cellStyle name="Procent 4 3 2 4 5" xfId="5138" xr:uid="{00000000-0005-0000-0000-0000316F0000}"/>
    <cellStyle name="Procent 4 3 2 4 5 2" xfId="13959" xr:uid="{00000000-0005-0000-0000-0000326F0000}"/>
    <cellStyle name="Procent 4 3 2 4 6" xfId="9552" xr:uid="{00000000-0005-0000-0000-0000336F0000}"/>
    <cellStyle name="Procent 4 3 2 5" xfId="2056" xr:uid="{00000000-0005-0000-0000-0000346F0000}"/>
    <cellStyle name="Procent 4 3 2 5 2" xfId="4041" xr:uid="{00000000-0005-0000-0000-0000356F0000}"/>
    <cellStyle name="Procent 4 3 2 5 2 2" xfId="8449" xr:uid="{00000000-0005-0000-0000-0000366F0000}"/>
    <cellStyle name="Procent 4 3 2 5 2 2 2" xfId="17270" xr:uid="{00000000-0005-0000-0000-0000376F0000}"/>
    <cellStyle name="Procent 4 3 2 5 2 3" xfId="12863" xr:uid="{00000000-0005-0000-0000-0000386F0000}"/>
    <cellStyle name="Procent 4 3 2 5 3" xfId="6244" xr:uid="{00000000-0005-0000-0000-0000396F0000}"/>
    <cellStyle name="Procent 4 3 2 5 3 2" xfId="15065" xr:uid="{00000000-0005-0000-0000-00003A6F0000}"/>
    <cellStyle name="Procent 4 3 2 5 4" xfId="10658" xr:uid="{00000000-0005-0000-0000-00003B6F0000}"/>
    <cellStyle name="Procent 4 3 2 6" xfId="1402" xr:uid="{00000000-0005-0000-0000-00003C6F0000}"/>
    <cellStyle name="Procent 4 3 2 6 2" xfId="3317" xr:uid="{00000000-0005-0000-0000-00003D6F0000}"/>
    <cellStyle name="Procent 4 3 2 6 2 2" xfId="7711" xr:uid="{00000000-0005-0000-0000-00003E6F0000}"/>
    <cellStyle name="Procent 4 3 2 6 2 2 2" xfId="16532" xr:uid="{00000000-0005-0000-0000-00003F6F0000}"/>
    <cellStyle name="Procent 4 3 2 6 2 3" xfId="12125" xr:uid="{00000000-0005-0000-0000-0000406F0000}"/>
    <cellStyle name="Procent 4 3 2 6 3" xfId="5506" xr:uid="{00000000-0005-0000-0000-0000416F0000}"/>
    <cellStyle name="Procent 4 3 2 6 3 2" xfId="14327" xr:uid="{00000000-0005-0000-0000-0000426F0000}"/>
    <cellStyle name="Procent 4 3 2 6 4" xfId="9920" xr:uid="{00000000-0005-0000-0000-0000436F0000}"/>
    <cellStyle name="Procent 4 3 2 7" xfId="2581" xr:uid="{00000000-0005-0000-0000-0000446F0000}"/>
    <cellStyle name="Procent 4 3 2 7 2" xfId="6974" xr:uid="{00000000-0005-0000-0000-0000456F0000}"/>
    <cellStyle name="Procent 4 3 2 7 2 2" xfId="15795" xr:uid="{00000000-0005-0000-0000-0000466F0000}"/>
    <cellStyle name="Procent 4 3 2 7 3" xfId="11388" xr:uid="{00000000-0005-0000-0000-0000476F0000}"/>
    <cellStyle name="Procent 4 3 2 8" xfId="4769" xr:uid="{00000000-0005-0000-0000-0000486F0000}"/>
    <cellStyle name="Procent 4 3 2 8 2" xfId="13590" xr:uid="{00000000-0005-0000-0000-0000496F0000}"/>
    <cellStyle name="Procent 4 3 2 9" xfId="9183" xr:uid="{00000000-0005-0000-0000-00004A6F0000}"/>
    <cellStyle name="Procent 4 3 3" xfId="1134" xr:uid="{00000000-0005-0000-0000-00004B6F0000}"/>
    <cellStyle name="Procent 4 3 3 2" xfId="1245" xr:uid="{00000000-0005-0000-0000-00004C6F0000}"/>
    <cellStyle name="Procent 4 3 3 2 2" xfId="1113" xr:uid="{00000000-0005-0000-0000-00004D6F0000}"/>
    <cellStyle name="Procent 4 3 3 2 2 2" xfId="2468" xr:uid="{00000000-0005-0000-0000-00004E6F0000}"/>
    <cellStyle name="Procent 4 3 3 2 2 2 2" xfId="4626" xr:uid="{00000000-0005-0000-0000-00004F6F0000}"/>
    <cellStyle name="Procent 4 3 3 2 2 2 2 2" xfId="9049" xr:uid="{00000000-0005-0000-0000-0000506F0000}"/>
    <cellStyle name="Procent 4 3 3 2 2 2 2 2 2" xfId="17870" xr:uid="{00000000-0005-0000-0000-0000516F0000}"/>
    <cellStyle name="Procent 4 3 3 2 2 2 2 3" xfId="13463" xr:uid="{00000000-0005-0000-0000-0000526F0000}"/>
    <cellStyle name="Procent 4 3 3 2 2 2 3" xfId="6844" xr:uid="{00000000-0005-0000-0000-0000536F0000}"/>
    <cellStyle name="Procent 4 3 3 2 2 2 3 2" xfId="15665" xr:uid="{00000000-0005-0000-0000-0000546F0000}"/>
    <cellStyle name="Procent 4 3 3 2 2 2 4" xfId="11258" xr:uid="{00000000-0005-0000-0000-0000556F0000}"/>
    <cellStyle name="Procent 4 3 3 2 2 3" xfId="1960" xr:uid="{00000000-0005-0000-0000-0000566F0000}"/>
    <cellStyle name="Procent 4 3 3 2 2 3 2" xfId="3917" xr:uid="{00000000-0005-0000-0000-0000576F0000}"/>
    <cellStyle name="Procent 4 3 3 2 2 3 2 2" xfId="8311" xr:uid="{00000000-0005-0000-0000-0000586F0000}"/>
    <cellStyle name="Procent 4 3 3 2 2 3 2 2 2" xfId="17132" xr:uid="{00000000-0005-0000-0000-0000596F0000}"/>
    <cellStyle name="Procent 4 3 3 2 2 3 2 3" xfId="12725" xr:uid="{00000000-0005-0000-0000-00005A6F0000}"/>
    <cellStyle name="Procent 4 3 3 2 2 3 3" xfId="6106" xr:uid="{00000000-0005-0000-0000-00005B6F0000}"/>
    <cellStyle name="Procent 4 3 3 2 2 3 3 2" xfId="14927" xr:uid="{00000000-0005-0000-0000-00005C6F0000}"/>
    <cellStyle name="Procent 4 3 3 2 2 3 4" xfId="10520" xr:uid="{00000000-0005-0000-0000-00005D6F0000}"/>
    <cellStyle name="Procent 4 3 3 2 2 4" xfId="3180" xr:uid="{00000000-0005-0000-0000-00005E6F0000}"/>
    <cellStyle name="Procent 4 3 3 2 2 4 2" xfId="7574" xr:uid="{00000000-0005-0000-0000-00005F6F0000}"/>
    <cellStyle name="Procent 4 3 3 2 2 4 2 2" xfId="16395" xr:uid="{00000000-0005-0000-0000-0000606F0000}"/>
    <cellStyle name="Procent 4 3 3 2 2 4 3" xfId="11988" xr:uid="{00000000-0005-0000-0000-0000616F0000}"/>
    <cellStyle name="Procent 4 3 3 2 2 5" xfId="5369" xr:uid="{00000000-0005-0000-0000-0000626F0000}"/>
    <cellStyle name="Procent 4 3 3 2 2 5 2" xfId="14190" xr:uid="{00000000-0005-0000-0000-0000636F0000}"/>
    <cellStyle name="Procent 4 3 3 2 2 6" xfId="9783" xr:uid="{00000000-0005-0000-0000-0000646F0000}"/>
    <cellStyle name="Procent 4 3 3 2 3" xfId="2207" xr:uid="{00000000-0005-0000-0000-0000656F0000}"/>
    <cellStyle name="Procent 4 3 3 2 3 2" xfId="4271" xr:uid="{00000000-0005-0000-0000-0000666F0000}"/>
    <cellStyle name="Procent 4 3 3 2 3 2 2" xfId="8680" xr:uid="{00000000-0005-0000-0000-0000676F0000}"/>
    <cellStyle name="Procent 4 3 3 2 3 2 2 2" xfId="17501" xr:uid="{00000000-0005-0000-0000-0000686F0000}"/>
    <cellStyle name="Procent 4 3 3 2 3 2 3" xfId="13094" xr:uid="{00000000-0005-0000-0000-0000696F0000}"/>
    <cellStyle name="Procent 4 3 3 2 3 3" xfId="6475" xr:uid="{00000000-0005-0000-0000-00006A6F0000}"/>
    <cellStyle name="Procent 4 3 3 2 3 3 2" xfId="15296" xr:uid="{00000000-0005-0000-0000-00006B6F0000}"/>
    <cellStyle name="Procent 4 3 3 2 3 4" xfId="10889" xr:uid="{00000000-0005-0000-0000-00006C6F0000}"/>
    <cellStyle name="Procent 4 3 3 2 4" xfId="1605" xr:uid="{00000000-0005-0000-0000-00006D6F0000}"/>
    <cellStyle name="Procent 4 3 3 2 4 2" xfId="3548" xr:uid="{00000000-0005-0000-0000-00006E6F0000}"/>
    <cellStyle name="Procent 4 3 3 2 4 2 2" xfId="7942" xr:uid="{00000000-0005-0000-0000-00006F6F0000}"/>
    <cellStyle name="Procent 4 3 3 2 4 2 2 2" xfId="16763" xr:uid="{00000000-0005-0000-0000-0000706F0000}"/>
    <cellStyle name="Procent 4 3 3 2 4 2 3" xfId="12356" xr:uid="{00000000-0005-0000-0000-0000716F0000}"/>
    <cellStyle name="Procent 4 3 3 2 4 3" xfId="5737" xr:uid="{00000000-0005-0000-0000-0000726F0000}"/>
    <cellStyle name="Procent 4 3 3 2 4 3 2" xfId="14558" xr:uid="{00000000-0005-0000-0000-0000736F0000}"/>
    <cellStyle name="Procent 4 3 3 2 4 4" xfId="10151" xr:uid="{00000000-0005-0000-0000-0000746F0000}"/>
    <cellStyle name="Procent 4 3 3 2 5" xfId="2811" xr:uid="{00000000-0005-0000-0000-0000756F0000}"/>
    <cellStyle name="Procent 4 3 3 2 5 2" xfId="7205" xr:uid="{00000000-0005-0000-0000-0000766F0000}"/>
    <cellStyle name="Procent 4 3 3 2 5 2 2" xfId="16026" xr:uid="{00000000-0005-0000-0000-0000776F0000}"/>
    <cellStyle name="Procent 4 3 3 2 5 3" xfId="11619" xr:uid="{00000000-0005-0000-0000-0000786F0000}"/>
    <cellStyle name="Procent 4 3 3 2 6" xfId="5000" xr:uid="{00000000-0005-0000-0000-0000796F0000}"/>
    <cellStyle name="Procent 4 3 3 2 6 2" xfId="13821" xr:uid="{00000000-0005-0000-0000-00007A6F0000}"/>
    <cellStyle name="Procent 4 3 3 2 7" xfId="9414" xr:uid="{00000000-0005-0000-0000-00007B6F0000}"/>
    <cellStyle name="Procent 4 3 3 3" xfId="1260" xr:uid="{00000000-0005-0000-0000-00007C6F0000}"/>
    <cellStyle name="Procent 4 3 3 3 2" xfId="2337" xr:uid="{00000000-0005-0000-0000-00007D6F0000}"/>
    <cellStyle name="Procent 4 3 3 3 2 2" xfId="4442" xr:uid="{00000000-0005-0000-0000-00007E6F0000}"/>
    <cellStyle name="Procent 4 3 3 3 2 2 2" xfId="8864" xr:uid="{00000000-0005-0000-0000-00007F6F0000}"/>
    <cellStyle name="Procent 4 3 3 3 2 2 2 2" xfId="17685" xr:uid="{00000000-0005-0000-0000-0000806F0000}"/>
    <cellStyle name="Procent 4 3 3 3 2 2 3" xfId="13278" xr:uid="{00000000-0005-0000-0000-0000816F0000}"/>
    <cellStyle name="Procent 4 3 3 3 2 3" xfId="6659" xr:uid="{00000000-0005-0000-0000-0000826F0000}"/>
    <cellStyle name="Procent 4 3 3 3 2 3 2" xfId="15480" xr:uid="{00000000-0005-0000-0000-0000836F0000}"/>
    <cellStyle name="Procent 4 3 3 3 2 4" xfId="11073" xr:uid="{00000000-0005-0000-0000-0000846F0000}"/>
    <cellStyle name="Procent 4 3 3 3 3" xfId="1776" xr:uid="{00000000-0005-0000-0000-0000856F0000}"/>
    <cellStyle name="Procent 4 3 3 3 3 2" xfId="3732" xr:uid="{00000000-0005-0000-0000-0000866F0000}"/>
    <cellStyle name="Procent 4 3 3 3 3 2 2" xfId="8126" xr:uid="{00000000-0005-0000-0000-0000876F0000}"/>
    <cellStyle name="Procent 4 3 3 3 3 2 2 2" xfId="16947" xr:uid="{00000000-0005-0000-0000-0000886F0000}"/>
    <cellStyle name="Procent 4 3 3 3 3 2 3" xfId="12540" xr:uid="{00000000-0005-0000-0000-0000896F0000}"/>
    <cellStyle name="Procent 4 3 3 3 3 3" xfId="5921" xr:uid="{00000000-0005-0000-0000-00008A6F0000}"/>
    <cellStyle name="Procent 4 3 3 3 3 3 2" xfId="14742" xr:uid="{00000000-0005-0000-0000-00008B6F0000}"/>
    <cellStyle name="Procent 4 3 3 3 3 4" xfId="10335" xr:uid="{00000000-0005-0000-0000-00008C6F0000}"/>
    <cellStyle name="Procent 4 3 3 3 4" xfId="2995" xr:uid="{00000000-0005-0000-0000-00008D6F0000}"/>
    <cellStyle name="Procent 4 3 3 3 4 2" xfId="7389" xr:uid="{00000000-0005-0000-0000-00008E6F0000}"/>
    <cellStyle name="Procent 4 3 3 3 4 2 2" xfId="16210" xr:uid="{00000000-0005-0000-0000-00008F6F0000}"/>
    <cellStyle name="Procent 4 3 3 3 4 3" xfId="11803" xr:uid="{00000000-0005-0000-0000-0000906F0000}"/>
    <cellStyle name="Procent 4 3 3 3 5" xfId="5184" xr:uid="{00000000-0005-0000-0000-0000916F0000}"/>
    <cellStyle name="Procent 4 3 3 3 5 2" xfId="14005" xr:uid="{00000000-0005-0000-0000-0000926F0000}"/>
    <cellStyle name="Procent 4 3 3 3 6" xfId="9598" xr:uid="{00000000-0005-0000-0000-0000936F0000}"/>
    <cellStyle name="Procent 4 3 3 4" xfId="2076" xr:uid="{00000000-0005-0000-0000-0000946F0000}"/>
    <cellStyle name="Procent 4 3 3 4 2" xfId="4087" xr:uid="{00000000-0005-0000-0000-0000956F0000}"/>
    <cellStyle name="Procent 4 3 3 4 2 2" xfId="8495" xr:uid="{00000000-0005-0000-0000-0000966F0000}"/>
    <cellStyle name="Procent 4 3 3 4 2 2 2" xfId="17316" xr:uid="{00000000-0005-0000-0000-0000976F0000}"/>
    <cellStyle name="Procent 4 3 3 4 2 3" xfId="12909" xr:uid="{00000000-0005-0000-0000-0000986F0000}"/>
    <cellStyle name="Procent 4 3 3 4 3" xfId="6290" xr:uid="{00000000-0005-0000-0000-0000996F0000}"/>
    <cellStyle name="Procent 4 3 3 4 3 2" xfId="15111" xr:uid="{00000000-0005-0000-0000-00009A6F0000}"/>
    <cellStyle name="Procent 4 3 3 4 4" xfId="10704" xr:uid="{00000000-0005-0000-0000-00009B6F0000}"/>
    <cellStyle name="Procent 4 3 3 5" xfId="1434" xr:uid="{00000000-0005-0000-0000-00009C6F0000}"/>
    <cellStyle name="Procent 4 3 3 5 2" xfId="3363" xr:uid="{00000000-0005-0000-0000-00009D6F0000}"/>
    <cellStyle name="Procent 4 3 3 5 2 2" xfId="7757" xr:uid="{00000000-0005-0000-0000-00009E6F0000}"/>
    <cellStyle name="Procent 4 3 3 5 2 2 2" xfId="16578" xr:uid="{00000000-0005-0000-0000-00009F6F0000}"/>
    <cellStyle name="Procent 4 3 3 5 2 3" xfId="12171" xr:uid="{00000000-0005-0000-0000-0000A06F0000}"/>
    <cellStyle name="Procent 4 3 3 5 3" xfId="5552" xr:uid="{00000000-0005-0000-0000-0000A16F0000}"/>
    <cellStyle name="Procent 4 3 3 5 3 2" xfId="14373" xr:uid="{00000000-0005-0000-0000-0000A26F0000}"/>
    <cellStyle name="Procent 4 3 3 5 4" xfId="9966" xr:uid="{00000000-0005-0000-0000-0000A36F0000}"/>
    <cellStyle name="Procent 4 3 3 6" xfId="2627" xr:uid="{00000000-0005-0000-0000-0000A46F0000}"/>
    <cellStyle name="Procent 4 3 3 6 2" xfId="7020" xr:uid="{00000000-0005-0000-0000-0000A56F0000}"/>
    <cellStyle name="Procent 4 3 3 6 2 2" xfId="15841" xr:uid="{00000000-0005-0000-0000-0000A66F0000}"/>
    <cellStyle name="Procent 4 3 3 6 3" xfId="11434" xr:uid="{00000000-0005-0000-0000-0000A76F0000}"/>
    <cellStyle name="Procent 4 3 3 7" xfId="4815" xr:uid="{00000000-0005-0000-0000-0000A86F0000}"/>
    <cellStyle name="Procent 4 3 3 7 2" xfId="13636" xr:uid="{00000000-0005-0000-0000-0000A96F0000}"/>
    <cellStyle name="Procent 4 3 3 8" xfId="9229" xr:uid="{00000000-0005-0000-0000-0000AA6F0000}"/>
    <cellStyle name="Procent 4 3 4" xfId="1235" xr:uid="{00000000-0005-0000-0000-0000AB6F0000}"/>
    <cellStyle name="Procent 4 3 4 2" xfId="1191" xr:uid="{00000000-0005-0000-0000-0000AC6F0000}"/>
    <cellStyle name="Procent 4 3 4 2 2" xfId="2402" xr:uid="{00000000-0005-0000-0000-0000AD6F0000}"/>
    <cellStyle name="Procent 4 3 4 2 2 2" xfId="4534" xr:uid="{00000000-0005-0000-0000-0000AE6F0000}"/>
    <cellStyle name="Procent 4 3 4 2 2 2 2" xfId="8956" xr:uid="{00000000-0005-0000-0000-0000AF6F0000}"/>
    <cellStyle name="Procent 4 3 4 2 2 2 2 2" xfId="17777" xr:uid="{00000000-0005-0000-0000-0000B06F0000}"/>
    <cellStyle name="Procent 4 3 4 2 2 2 3" xfId="13370" xr:uid="{00000000-0005-0000-0000-0000B16F0000}"/>
    <cellStyle name="Procent 4 3 4 2 2 3" xfId="6751" xr:uid="{00000000-0005-0000-0000-0000B26F0000}"/>
    <cellStyle name="Procent 4 3 4 2 2 3 2" xfId="15572" xr:uid="{00000000-0005-0000-0000-0000B36F0000}"/>
    <cellStyle name="Procent 4 3 4 2 2 4" xfId="11165" xr:uid="{00000000-0005-0000-0000-0000B46F0000}"/>
    <cellStyle name="Procent 4 3 4 2 3" xfId="1868" xr:uid="{00000000-0005-0000-0000-0000B56F0000}"/>
    <cellStyle name="Procent 4 3 4 2 3 2" xfId="3824" xr:uid="{00000000-0005-0000-0000-0000B66F0000}"/>
    <cellStyle name="Procent 4 3 4 2 3 2 2" xfId="8218" xr:uid="{00000000-0005-0000-0000-0000B76F0000}"/>
    <cellStyle name="Procent 4 3 4 2 3 2 2 2" xfId="17039" xr:uid="{00000000-0005-0000-0000-0000B86F0000}"/>
    <cellStyle name="Procent 4 3 4 2 3 2 3" xfId="12632" xr:uid="{00000000-0005-0000-0000-0000B96F0000}"/>
    <cellStyle name="Procent 4 3 4 2 3 3" xfId="6013" xr:uid="{00000000-0005-0000-0000-0000BA6F0000}"/>
    <cellStyle name="Procent 4 3 4 2 3 3 2" xfId="14834" xr:uid="{00000000-0005-0000-0000-0000BB6F0000}"/>
    <cellStyle name="Procent 4 3 4 2 3 4" xfId="10427" xr:uid="{00000000-0005-0000-0000-0000BC6F0000}"/>
    <cellStyle name="Procent 4 3 4 2 4" xfId="3087" xr:uid="{00000000-0005-0000-0000-0000BD6F0000}"/>
    <cellStyle name="Procent 4 3 4 2 4 2" xfId="7481" xr:uid="{00000000-0005-0000-0000-0000BE6F0000}"/>
    <cellStyle name="Procent 4 3 4 2 4 2 2" xfId="16302" xr:uid="{00000000-0005-0000-0000-0000BF6F0000}"/>
    <cellStyle name="Procent 4 3 4 2 4 3" xfId="11895" xr:uid="{00000000-0005-0000-0000-0000C06F0000}"/>
    <cellStyle name="Procent 4 3 4 2 5" xfId="5276" xr:uid="{00000000-0005-0000-0000-0000C16F0000}"/>
    <cellStyle name="Procent 4 3 4 2 5 2" xfId="14097" xr:uid="{00000000-0005-0000-0000-0000C26F0000}"/>
    <cellStyle name="Procent 4 3 4 2 6" xfId="9690" xr:uid="{00000000-0005-0000-0000-0000C36F0000}"/>
    <cellStyle name="Procent 4 3 4 3" xfId="2141" xr:uid="{00000000-0005-0000-0000-0000C46F0000}"/>
    <cellStyle name="Procent 4 3 4 3 2" xfId="4179" xr:uid="{00000000-0005-0000-0000-0000C56F0000}"/>
    <cellStyle name="Procent 4 3 4 3 2 2" xfId="8587" xr:uid="{00000000-0005-0000-0000-0000C66F0000}"/>
    <cellStyle name="Procent 4 3 4 3 2 2 2" xfId="17408" xr:uid="{00000000-0005-0000-0000-0000C76F0000}"/>
    <cellStyle name="Procent 4 3 4 3 2 3" xfId="13001" xr:uid="{00000000-0005-0000-0000-0000C86F0000}"/>
    <cellStyle name="Procent 4 3 4 3 3" xfId="6382" xr:uid="{00000000-0005-0000-0000-0000C96F0000}"/>
    <cellStyle name="Procent 4 3 4 3 3 2" xfId="15203" xr:uid="{00000000-0005-0000-0000-0000CA6F0000}"/>
    <cellStyle name="Procent 4 3 4 3 4" xfId="10796" xr:uid="{00000000-0005-0000-0000-0000CB6F0000}"/>
    <cellStyle name="Procent 4 3 4 4" xfId="1513" xr:uid="{00000000-0005-0000-0000-0000CC6F0000}"/>
    <cellStyle name="Procent 4 3 4 4 2" xfId="3455" xr:uid="{00000000-0005-0000-0000-0000CD6F0000}"/>
    <cellStyle name="Procent 4 3 4 4 2 2" xfId="7849" xr:uid="{00000000-0005-0000-0000-0000CE6F0000}"/>
    <cellStyle name="Procent 4 3 4 4 2 2 2" xfId="16670" xr:uid="{00000000-0005-0000-0000-0000CF6F0000}"/>
    <cellStyle name="Procent 4 3 4 4 2 3" xfId="12263" xr:uid="{00000000-0005-0000-0000-0000D06F0000}"/>
    <cellStyle name="Procent 4 3 4 4 3" xfId="5644" xr:uid="{00000000-0005-0000-0000-0000D16F0000}"/>
    <cellStyle name="Procent 4 3 4 4 3 2" xfId="14465" xr:uid="{00000000-0005-0000-0000-0000D26F0000}"/>
    <cellStyle name="Procent 4 3 4 4 4" xfId="10058" xr:uid="{00000000-0005-0000-0000-0000D36F0000}"/>
    <cellStyle name="Procent 4 3 4 5" xfId="2719" xr:uid="{00000000-0005-0000-0000-0000D46F0000}"/>
    <cellStyle name="Procent 4 3 4 5 2" xfId="7112" xr:uid="{00000000-0005-0000-0000-0000D56F0000}"/>
    <cellStyle name="Procent 4 3 4 5 2 2" xfId="15933" xr:uid="{00000000-0005-0000-0000-0000D66F0000}"/>
    <cellStyle name="Procent 4 3 4 5 3" xfId="11526" xr:uid="{00000000-0005-0000-0000-0000D76F0000}"/>
    <cellStyle name="Procent 4 3 4 6" xfId="4907" xr:uid="{00000000-0005-0000-0000-0000D86F0000}"/>
    <cellStyle name="Procent 4 3 4 6 2" xfId="13728" xr:uid="{00000000-0005-0000-0000-0000D96F0000}"/>
    <cellStyle name="Procent 4 3 4 7" xfId="9321" xr:uid="{00000000-0005-0000-0000-0000DA6F0000}"/>
    <cellStyle name="Procent 4 3 5" xfId="1207" xr:uid="{00000000-0005-0000-0000-0000DB6F0000}"/>
    <cellStyle name="Procent 4 3 5 2" xfId="2271" xr:uid="{00000000-0005-0000-0000-0000DC6F0000}"/>
    <cellStyle name="Procent 4 3 5 2 2" xfId="4350" xr:uid="{00000000-0005-0000-0000-0000DD6F0000}"/>
    <cellStyle name="Procent 4 3 5 2 2 2" xfId="8771" xr:uid="{00000000-0005-0000-0000-0000DE6F0000}"/>
    <cellStyle name="Procent 4 3 5 2 2 2 2" xfId="17592" xr:uid="{00000000-0005-0000-0000-0000DF6F0000}"/>
    <cellStyle name="Procent 4 3 5 2 2 3" xfId="13185" xr:uid="{00000000-0005-0000-0000-0000E06F0000}"/>
    <cellStyle name="Procent 4 3 5 2 3" xfId="6566" xr:uid="{00000000-0005-0000-0000-0000E16F0000}"/>
    <cellStyle name="Procent 4 3 5 2 3 2" xfId="15387" xr:uid="{00000000-0005-0000-0000-0000E26F0000}"/>
    <cellStyle name="Procent 4 3 5 2 4" xfId="10980" xr:uid="{00000000-0005-0000-0000-0000E36F0000}"/>
    <cellStyle name="Procent 4 3 5 3" xfId="1684" xr:uid="{00000000-0005-0000-0000-0000E46F0000}"/>
    <cellStyle name="Procent 4 3 5 3 2" xfId="3639" xr:uid="{00000000-0005-0000-0000-0000E56F0000}"/>
    <cellStyle name="Procent 4 3 5 3 2 2" xfId="8033" xr:uid="{00000000-0005-0000-0000-0000E66F0000}"/>
    <cellStyle name="Procent 4 3 5 3 2 2 2" xfId="16854" xr:uid="{00000000-0005-0000-0000-0000E76F0000}"/>
    <cellStyle name="Procent 4 3 5 3 2 3" xfId="12447" xr:uid="{00000000-0005-0000-0000-0000E86F0000}"/>
    <cellStyle name="Procent 4 3 5 3 3" xfId="5828" xr:uid="{00000000-0005-0000-0000-0000E96F0000}"/>
    <cellStyle name="Procent 4 3 5 3 3 2" xfId="14649" xr:uid="{00000000-0005-0000-0000-0000EA6F0000}"/>
    <cellStyle name="Procent 4 3 5 3 4" xfId="10242" xr:uid="{00000000-0005-0000-0000-0000EB6F0000}"/>
    <cellStyle name="Procent 4 3 5 4" xfId="2902" xr:uid="{00000000-0005-0000-0000-0000EC6F0000}"/>
    <cellStyle name="Procent 4 3 5 4 2" xfId="7296" xr:uid="{00000000-0005-0000-0000-0000ED6F0000}"/>
    <cellStyle name="Procent 4 3 5 4 2 2" xfId="16117" xr:uid="{00000000-0005-0000-0000-0000EE6F0000}"/>
    <cellStyle name="Procent 4 3 5 4 3" xfId="11710" xr:uid="{00000000-0005-0000-0000-0000EF6F0000}"/>
    <cellStyle name="Procent 4 3 5 5" xfId="5091" xr:uid="{00000000-0005-0000-0000-0000F06F0000}"/>
    <cellStyle name="Procent 4 3 5 5 2" xfId="13912" xr:uid="{00000000-0005-0000-0000-0000F16F0000}"/>
    <cellStyle name="Procent 4 3 5 6" xfId="9505" xr:uid="{00000000-0005-0000-0000-0000F26F0000}"/>
    <cellStyle name="Procent 4 3 6" xfId="2036" xr:uid="{00000000-0005-0000-0000-0000F36F0000}"/>
    <cellStyle name="Procent 4 3 6 2" xfId="3995" xr:uid="{00000000-0005-0000-0000-0000F46F0000}"/>
    <cellStyle name="Procent 4 3 6 2 2" xfId="8402" xr:uid="{00000000-0005-0000-0000-0000F56F0000}"/>
    <cellStyle name="Procent 4 3 6 2 2 2" xfId="17223" xr:uid="{00000000-0005-0000-0000-0000F66F0000}"/>
    <cellStyle name="Procent 4 3 6 2 3" xfId="12816" xr:uid="{00000000-0005-0000-0000-0000F76F0000}"/>
    <cellStyle name="Procent 4 3 6 3" xfId="6197" xr:uid="{00000000-0005-0000-0000-0000F86F0000}"/>
    <cellStyle name="Procent 4 3 6 3 2" xfId="15018" xr:uid="{00000000-0005-0000-0000-0000F96F0000}"/>
    <cellStyle name="Procent 4 3 6 4" xfId="10611" xr:uid="{00000000-0005-0000-0000-0000FA6F0000}"/>
    <cellStyle name="Procent 4 3 7" xfId="1368" xr:uid="{00000000-0005-0000-0000-0000FB6F0000}"/>
    <cellStyle name="Procent 4 3 7 2" xfId="3270" xr:uid="{00000000-0005-0000-0000-0000FC6F0000}"/>
    <cellStyle name="Procent 4 3 7 2 2" xfId="7664" xr:uid="{00000000-0005-0000-0000-0000FD6F0000}"/>
    <cellStyle name="Procent 4 3 7 2 2 2" xfId="16485" xr:uid="{00000000-0005-0000-0000-0000FE6F0000}"/>
    <cellStyle name="Procent 4 3 7 2 3" xfId="12078" xr:uid="{00000000-0005-0000-0000-0000FF6F0000}"/>
    <cellStyle name="Procent 4 3 7 3" xfId="5459" xr:uid="{00000000-0005-0000-0000-000000700000}"/>
    <cellStyle name="Procent 4 3 7 3 2" xfId="14280" xr:uid="{00000000-0005-0000-0000-000001700000}"/>
    <cellStyle name="Procent 4 3 7 4" xfId="9873" xr:uid="{00000000-0005-0000-0000-000002700000}"/>
    <cellStyle name="Procent 4 3 8" xfId="2542" xr:uid="{00000000-0005-0000-0000-000003700000}"/>
    <cellStyle name="Procent 4 3 8 2" xfId="6933" xr:uid="{00000000-0005-0000-0000-000004700000}"/>
    <cellStyle name="Procent 4 3 8 2 2" xfId="15754" xr:uid="{00000000-0005-0000-0000-000005700000}"/>
    <cellStyle name="Procent 4 3 8 3" xfId="11347" xr:uid="{00000000-0005-0000-0000-000006700000}"/>
    <cellStyle name="Procent 4 3 9" xfId="4735" xr:uid="{00000000-0005-0000-0000-000007700000}"/>
    <cellStyle name="Procent 4 3 9 2" xfId="13556" xr:uid="{00000000-0005-0000-0000-000008700000}"/>
    <cellStyle name="Procent 4 4" xfId="1296" xr:uid="{00000000-0005-0000-0000-000009700000}"/>
    <cellStyle name="Procent 4 4 10" xfId="9155" xr:uid="{00000000-0005-0000-0000-00000A700000}"/>
    <cellStyle name="Procent 4 4 2" xfId="1229" xr:uid="{00000000-0005-0000-0000-00000B700000}"/>
    <cellStyle name="Procent 4 4 2 2" xfId="1074" xr:uid="{00000000-0005-0000-0000-00000C700000}"/>
    <cellStyle name="Procent 4 4 2 2 2" xfId="1101" xr:uid="{00000000-0005-0000-0000-00000D700000}"/>
    <cellStyle name="Procent 4 4 2 2 2 2" xfId="1346" xr:uid="{00000000-0005-0000-0000-00000E700000}"/>
    <cellStyle name="Procent 4 4 2 2 2 2 2" xfId="2520" xr:uid="{00000000-0005-0000-0000-00000F700000}"/>
    <cellStyle name="Procent 4 4 2 2 2 2 2 2" xfId="4691" xr:uid="{00000000-0005-0000-0000-000010700000}"/>
    <cellStyle name="Procent 4 4 2 2 2 2 2 2 2" xfId="9114" xr:uid="{00000000-0005-0000-0000-000011700000}"/>
    <cellStyle name="Procent 4 4 2 2 2 2 2 2 2 2" xfId="17935" xr:uid="{00000000-0005-0000-0000-000012700000}"/>
    <cellStyle name="Procent 4 4 2 2 2 2 2 2 3" xfId="13528" xr:uid="{00000000-0005-0000-0000-000013700000}"/>
    <cellStyle name="Procent 4 4 2 2 2 2 2 3" xfId="6909" xr:uid="{00000000-0005-0000-0000-000014700000}"/>
    <cellStyle name="Procent 4 4 2 2 2 2 2 3 2" xfId="15730" xr:uid="{00000000-0005-0000-0000-000015700000}"/>
    <cellStyle name="Procent 4 4 2 2 2 2 2 4" xfId="11323" xr:uid="{00000000-0005-0000-0000-000016700000}"/>
    <cellStyle name="Procent 4 4 2 2 2 2 3" xfId="2025" xr:uid="{00000000-0005-0000-0000-000017700000}"/>
    <cellStyle name="Procent 4 4 2 2 2 2 3 2" xfId="3982" xr:uid="{00000000-0005-0000-0000-000018700000}"/>
    <cellStyle name="Procent 4 4 2 2 2 2 3 2 2" xfId="8376" xr:uid="{00000000-0005-0000-0000-000019700000}"/>
    <cellStyle name="Procent 4 4 2 2 2 2 3 2 2 2" xfId="17197" xr:uid="{00000000-0005-0000-0000-00001A700000}"/>
    <cellStyle name="Procent 4 4 2 2 2 2 3 2 3" xfId="12790" xr:uid="{00000000-0005-0000-0000-00001B700000}"/>
    <cellStyle name="Procent 4 4 2 2 2 2 3 3" xfId="6171" xr:uid="{00000000-0005-0000-0000-00001C700000}"/>
    <cellStyle name="Procent 4 4 2 2 2 2 3 3 2" xfId="14992" xr:uid="{00000000-0005-0000-0000-00001D700000}"/>
    <cellStyle name="Procent 4 4 2 2 2 2 3 4" xfId="10585" xr:uid="{00000000-0005-0000-0000-00001E700000}"/>
    <cellStyle name="Procent 4 4 2 2 2 2 4" xfId="3245" xr:uid="{00000000-0005-0000-0000-00001F700000}"/>
    <cellStyle name="Procent 4 4 2 2 2 2 4 2" xfId="7639" xr:uid="{00000000-0005-0000-0000-000020700000}"/>
    <cellStyle name="Procent 4 4 2 2 2 2 4 2 2" xfId="16460" xr:uid="{00000000-0005-0000-0000-000021700000}"/>
    <cellStyle name="Procent 4 4 2 2 2 2 4 3" xfId="12053" xr:uid="{00000000-0005-0000-0000-000022700000}"/>
    <cellStyle name="Procent 4 4 2 2 2 2 5" xfId="5434" xr:uid="{00000000-0005-0000-0000-000023700000}"/>
    <cellStyle name="Procent 4 4 2 2 2 2 5 2" xfId="14255" xr:uid="{00000000-0005-0000-0000-000024700000}"/>
    <cellStyle name="Procent 4 4 2 2 2 2 6" xfId="9848" xr:uid="{00000000-0005-0000-0000-000025700000}"/>
    <cellStyle name="Procent 4 4 2 2 2 3" xfId="2259" xr:uid="{00000000-0005-0000-0000-000026700000}"/>
    <cellStyle name="Procent 4 4 2 2 2 3 2" xfId="4336" xr:uid="{00000000-0005-0000-0000-000027700000}"/>
    <cellStyle name="Procent 4 4 2 2 2 3 2 2" xfId="8745" xr:uid="{00000000-0005-0000-0000-000028700000}"/>
    <cellStyle name="Procent 4 4 2 2 2 3 2 2 2" xfId="17566" xr:uid="{00000000-0005-0000-0000-000029700000}"/>
    <cellStyle name="Procent 4 4 2 2 2 3 2 3" xfId="13159" xr:uid="{00000000-0005-0000-0000-00002A700000}"/>
    <cellStyle name="Procent 4 4 2 2 2 3 3" xfId="6540" xr:uid="{00000000-0005-0000-0000-00002B700000}"/>
    <cellStyle name="Procent 4 4 2 2 2 3 3 2" xfId="15361" xr:uid="{00000000-0005-0000-0000-00002C700000}"/>
    <cellStyle name="Procent 4 4 2 2 2 3 4" xfId="10954" xr:uid="{00000000-0005-0000-0000-00002D700000}"/>
    <cellStyle name="Procent 4 4 2 2 2 4" xfId="1670" xr:uid="{00000000-0005-0000-0000-00002E700000}"/>
    <cellStyle name="Procent 4 4 2 2 2 4 2" xfId="3613" xr:uid="{00000000-0005-0000-0000-00002F700000}"/>
    <cellStyle name="Procent 4 4 2 2 2 4 2 2" xfId="8007" xr:uid="{00000000-0005-0000-0000-000030700000}"/>
    <cellStyle name="Procent 4 4 2 2 2 4 2 2 2" xfId="16828" xr:uid="{00000000-0005-0000-0000-000031700000}"/>
    <cellStyle name="Procent 4 4 2 2 2 4 2 3" xfId="12421" xr:uid="{00000000-0005-0000-0000-000032700000}"/>
    <cellStyle name="Procent 4 4 2 2 2 4 3" xfId="5802" xr:uid="{00000000-0005-0000-0000-000033700000}"/>
    <cellStyle name="Procent 4 4 2 2 2 4 3 2" xfId="14623" xr:uid="{00000000-0005-0000-0000-000034700000}"/>
    <cellStyle name="Procent 4 4 2 2 2 4 4" xfId="10216" xr:uid="{00000000-0005-0000-0000-000035700000}"/>
    <cellStyle name="Procent 4 4 2 2 2 5" xfId="2876" xr:uid="{00000000-0005-0000-0000-000036700000}"/>
    <cellStyle name="Procent 4 4 2 2 2 5 2" xfId="7270" xr:uid="{00000000-0005-0000-0000-000037700000}"/>
    <cellStyle name="Procent 4 4 2 2 2 5 2 2" xfId="16091" xr:uid="{00000000-0005-0000-0000-000038700000}"/>
    <cellStyle name="Procent 4 4 2 2 2 5 3" xfId="11684" xr:uid="{00000000-0005-0000-0000-000039700000}"/>
    <cellStyle name="Procent 4 4 2 2 2 6" xfId="5065" xr:uid="{00000000-0005-0000-0000-00003A700000}"/>
    <cellStyle name="Procent 4 4 2 2 2 6 2" xfId="13886" xr:uid="{00000000-0005-0000-0000-00003B700000}"/>
    <cellStyle name="Procent 4 4 2 2 2 7" xfId="9479" xr:uid="{00000000-0005-0000-0000-00003C700000}"/>
    <cellStyle name="Procent 4 4 2 2 3" xfId="1114" xr:uid="{00000000-0005-0000-0000-00003D700000}"/>
    <cellStyle name="Procent 4 4 2 2 3 2" xfId="2389" xr:uid="{00000000-0005-0000-0000-00003E700000}"/>
    <cellStyle name="Procent 4 4 2 2 3 2 2" xfId="4507" xr:uid="{00000000-0005-0000-0000-00003F700000}"/>
    <cellStyle name="Procent 4 4 2 2 3 2 2 2" xfId="8929" xr:uid="{00000000-0005-0000-0000-000040700000}"/>
    <cellStyle name="Procent 4 4 2 2 3 2 2 2 2" xfId="17750" xr:uid="{00000000-0005-0000-0000-000041700000}"/>
    <cellStyle name="Procent 4 4 2 2 3 2 2 3" xfId="13343" xr:uid="{00000000-0005-0000-0000-000042700000}"/>
    <cellStyle name="Procent 4 4 2 2 3 2 3" xfId="6724" xr:uid="{00000000-0005-0000-0000-000043700000}"/>
    <cellStyle name="Procent 4 4 2 2 3 2 3 2" xfId="15545" xr:uid="{00000000-0005-0000-0000-000044700000}"/>
    <cellStyle name="Procent 4 4 2 2 3 2 4" xfId="11138" xr:uid="{00000000-0005-0000-0000-000045700000}"/>
    <cellStyle name="Procent 4 4 2 2 3 3" xfId="1841" xr:uid="{00000000-0005-0000-0000-000046700000}"/>
    <cellStyle name="Procent 4 4 2 2 3 3 2" xfId="3797" xr:uid="{00000000-0005-0000-0000-000047700000}"/>
    <cellStyle name="Procent 4 4 2 2 3 3 2 2" xfId="8191" xr:uid="{00000000-0005-0000-0000-000048700000}"/>
    <cellStyle name="Procent 4 4 2 2 3 3 2 2 2" xfId="17012" xr:uid="{00000000-0005-0000-0000-000049700000}"/>
    <cellStyle name="Procent 4 4 2 2 3 3 2 3" xfId="12605" xr:uid="{00000000-0005-0000-0000-00004A700000}"/>
    <cellStyle name="Procent 4 4 2 2 3 3 3" xfId="5986" xr:uid="{00000000-0005-0000-0000-00004B700000}"/>
    <cellStyle name="Procent 4 4 2 2 3 3 3 2" xfId="14807" xr:uid="{00000000-0005-0000-0000-00004C700000}"/>
    <cellStyle name="Procent 4 4 2 2 3 3 4" xfId="10400" xr:uid="{00000000-0005-0000-0000-00004D700000}"/>
    <cellStyle name="Procent 4 4 2 2 3 4" xfId="3060" xr:uid="{00000000-0005-0000-0000-00004E700000}"/>
    <cellStyle name="Procent 4 4 2 2 3 4 2" xfId="7454" xr:uid="{00000000-0005-0000-0000-00004F700000}"/>
    <cellStyle name="Procent 4 4 2 2 3 4 2 2" xfId="16275" xr:uid="{00000000-0005-0000-0000-000050700000}"/>
    <cellStyle name="Procent 4 4 2 2 3 4 3" xfId="11868" xr:uid="{00000000-0005-0000-0000-000051700000}"/>
    <cellStyle name="Procent 4 4 2 2 3 5" xfId="5249" xr:uid="{00000000-0005-0000-0000-000052700000}"/>
    <cellStyle name="Procent 4 4 2 2 3 5 2" xfId="14070" xr:uid="{00000000-0005-0000-0000-000053700000}"/>
    <cellStyle name="Procent 4 4 2 2 3 6" xfId="9663" xr:uid="{00000000-0005-0000-0000-000054700000}"/>
    <cellStyle name="Procent 4 4 2 2 4" xfId="2128" xr:uid="{00000000-0005-0000-0000-000055700000}"/>
    <cellStyle name="Procent 4 4 2 2 4 2" xfId="4152" xr:uid="{00000000-0005-0000-0000-000056700000}"/>
    <cellStyle name="Procent 4 4 2 2 4 2 2" xfId="8560" xr:uid="{00000000-0005-0000-0000-000057700000}"/>
    <cellStyle name="Procent 4 4 2 2 4 2 2 2" xfId="17381" xr:uid="{00000000-0005-0000-0000-000058700000}"/>
    <cellStyle name="Procent 4 4 2 2 4 2 3" xfId="12974" xr:uid="{00000000-0005-0000-0000-000059700000}"/>
    <cellStyle name="Procent 4 4 2 2 4 3" xfId="6355" xr:uid="{00000000-0005-0000-0000-00005A700000}"/>
    <cellStyle name="Procent 4 4 2 2 4 3 2" xfId="15176" xr:uid="{00000000-0005-0000-0000-00005B700000}"/>
    <cellStyle name="Procent 4 4 2 2 4 4" xfId="10769" xr:uid="{00000000-0005-0000-0000-00005C700000}"/>
    <cellStyle name="Procent 4 4 2 2 5" xfId="1486" xr:uid="{00000000-0005-0000-0000-00005D700000}"/>
    <cellStyle name="Procent 4 4 2 2 5 2" xfId="3428" xr:uid="{00000000-0005-0000-0000-00005E700000}"/>
    <cellStyle name="Procent 4 4 2 2 5 2 2" xfId="7822" xr:uid="{00000000-0005-0000-0000-00005F700000}"/>
    <cellStyle name="Procent 4 4 2 2 5 2 2 2" xfId="16643" xr:uid="{00000000-0005-0000-0000-000060700000}"/>
    <cellStyle name="Procent 4 4 2 2 5 2 3" xfId="12236" xr:uid="{00000000-0005-0000-0000-000061700000}"/>
    <cellStyle name="Procent 4 4 2 2 5 3" xfId="5617" xr:uid="{00000000-0005-0000-0000-000062700000}"/>
    <cellStyle name="Procent 4 4 2 2 5 3 2" xfId="14438" xr:uid="{00000000-0005-0000-0000-000063700000}"/>
    <cellStyle name="Procent 4 4 2 2 5 4" xfId="10031" xr:uid="{00000000-0005-0000-0000-000064700000}"/>
    <cellStyle name="Procent 4 4 2 2 6" xfId="2692" xr:uid="{00000000-0005-0000-0000-000065700000}"/>
    <cellStyle name="Procent 4 4 2 2 6 2" xfId="7085" xr:uid="{00000000-0005-0000-0000-000066700000}"/>
    <cellStyle name="Procent 4 4 2 2 6 2 2" xfId="15906" xr:uid="{00000000-0005-0000-0000-000067700000}"/>
    <cellStyle name="Procent 4 4 2 2 6 3" xfId="11499" xr:uid="{00000000-0005-0000-0000-000068700000}"/>
    <cellStyle name="Procent 4 4 2 2 7" xfId="4880" xr:uid="{00000000-0005-0000-0000-000069700000}"/>
    <cellStyle name="Procent 4 4 2 2 7 2" xfId="13701" xr:uid="{00000000-0005-0000-0000-00006A700000}"/>
    <cellStyle name="Procent 4 4 2 2 8" xfId="9294" xr:uid="{00000000-0005-0000-0000-00006B700000}"/>
    <cellStyle name="Procent 4 4 2 3" xfId="1169" xr:uid="{00000000-0005-0000-0000-00006C700000}"/>
    <cellStyle name="Procent 4 4 2 3 2" xfId="1109" xr:uid="{00000000-0005-0000-0000-00006D700000}"/>
    <cellStyle name="Procent 4 4 2 3 2 2" xfId="2455" xr:uid="{00000000-0005-0000-0000-00006E700000}"/>
    <cellStyle name="Procent 4 4 2 3 2 2 2" xfId="4599" xr:uid="{00000000-0005-0000-0000-00006F700000}"/>
    <cellStyle name="Procent 4 4 2 3 2 2 2 2" xfId="9022" xr:uid="{00000000-0005-0000-0000-000070700000}"/>
    <cellStyle name="Procent 4 4 2 3 2 2 2 2 2" xfId="17843" xr:uid="{00000000-0005-0000-0000-000071700000}"/>
    <cellStyle name="Procent 4 4 2 3 2 2 2 3" xfId="13436" xr:uid="{00000000-0005-0000-0000-000072700000}"/>
    <cellStyle name="Procent 4 4 2 3 2 2 3" xfId="6817" xr:uid="{00000000-0005-0000-0000-000073700000}"/>
    <cellStyle name="Procent 4 4 2 3 2 2 3 2" xfId="15638" xr:uid="{00000000-0005-0000-0000-000074700000}"/>
    <cellStyle name="Procent 4 4 2 3 2 2 4" xfId="11231" xr:uid="{00000000-0005-0000-0000-000075700000}"/>
    <cellStyle name="Procent 4 4 2 3 2 3" xfId="1933" xr:uid="{00000000-0005-0000-0000-000076700000}"/>
    <cellStyle name="Procent 4 4 2 3 2 3 2" xfId="3890" xr:uid="{00000000-0005-0000-0000-000077700000}"/>
    <cellStyle name="Procent 4 4 2 3 2 3 2 2" xfId="8284" xr:uid="{00000000-0005-0000-0000-000078700000}"/>
    <cellStyle name="Procent 4 4 2 3 2 3 2 2 2" xfId="17105" xr:uid="{00000000-0005-0000-0000-000079700000}"/>
    <cellStyle name="Procent 4 4 2 3 2 3 2 3" xfId="12698" xr:uid="{00000000-0005-0000-0000-00007A700000}"/>
    <cellStyle name="Procent 4 4 2 3 2 3 3" xfId="6079" xr:uid="{00000000-0005-0000-0000-00007B700000}"/>
    <cellStyle name="Procent 4 4 2 3 2 3 3 2" xfId="14900" xr:uid="{00000000-0005-0000-0000-00007C700000}"/>
    <cellStyle name="Procent 4 4 2 3 2 3 4" xfId="10493" xr:uid="{00000000-0005-0000-0000-00007D700000}"/>
    <cellStyle name="Procent 4 4 2 3 2 4" xfId="3153" xr:uid="{00000000-0005-0000-0000-00007E700000}"/>
    <cellStyle name="Procent 4 4 2 3 2 4 2" xfId="7547" xr:uid="{00000000-0005-0000-0000-00007F700000}"/>
    <cellStyle name="Procent 4 4 2 3 2 4 2 2" xfId="16368" xr:uid="{00000000-0005-0000-0000-000080700000}"/>
    <cellStyle name="Procent 4 4 2 3 2 4 3" xfId="11961" xr:uid="{00000000-0005-0000-0000-000081700000}"/>
    <cellStyle name="Procent 4 4 2 3 2 5" xfId="5342" xr:uid="{00000000-0005-0000-0000-000082700000}"/>
    <cellStyle name="Procent 4 4 2 3 2 5 2" xfId="14163" xr:uid="{00000000-0005-0000-0000-000083700000}"/>
    <cellStyle name="Procent 4 4 2 3 2 6" xfId="9756" xr:uid="{00000000-0005-0000-0000-000084700000}"/>
    <cellStyle name="Procent 4 4 2 3 3" xfId="2194" xr:uid="{00000000-0005-0000-0000-000085700000}"/>
    <cellStyle name="Procent 4 4 2 3 3 2" xfId="4244" xr:uid="{00000000-0005-0000-0000-000086700000}"/>
    <cellStyle name="Procent 4 4 2 3 3 2 2" xfId="8653" xr:uid="{00000000-0005-0000-0000-000087700000}"/>
    <cellStyle name="Procent 4 4 2 3 3 2 2 2" xfId="17474" xr:uid="{00000000-0005-0000-0000-000088700000}"/>
    <cellStyle name="Procent 4 4 2 3 3 2 3" xfId="13067" xr:uid="{00000000-0005-0000-0000-000089700000}"/>
    <cellStyle name="Procent 4 4 2 3 3 3" xfId="6448" xr:uid="{00000000-0005-0000-0000-00008A700000}"/>
    <cellStyle name="Procent 4 4 2 3 3 3 2" xfId="15269" xr:uid="{00000000-0005-0000-0000-00008B700000}"/>
    <cellStyle name="Procent 4 4 2 3 3 4" xfId="10862" xr:uid="{00000000-0005-0000-0000-00008C700000}"/>
    <cellStyle name="Procent 4 4 2 3 4" xfId="1578" xr:uid="{00000000-0005-0000-0000-00008D700000}"/>
    <cellStyle name="Procent 4 4 2 3 4 2" xfId="3521" xr:uid="{00000000-0005-0000-0000-00008E700000}"/>
    <cellStyle name="Procent 4 4 2 3 4 2 2" xfId="7915" xr:uid="{00000000-0005-0000-0000-00008F700000}"/>
    <cellStyle name="Procent 4 4 2 3 4 2 2 2" xfId="16736" xr:uid="{00000000-0005-0000-0000-000090700000}"/>
    <cellStyle name="Procent 4 4 2 3 4 2 3" xfId="12329" xr:uid="{00000000-0005-0000-0000-000091700000}"/>
    <cellStyle name="Procent 4 4 2 3 4 3" xfId="5710" xr:uid="{00000000-0005-0000-0000-000092700000}"/>
    <cellStyle name="Procent 4 4 2 3 4 3 2" xfId="14531" xr:uid="{00000000-0005-0000-0000-000093700000}"/>
    <cellStyle name="Procent 4 4 2 3 4 4" xfId="10124" xr:uid="{00000000-0005-0000-0000-000094700000}"/>
    <cellStyle name="Procent 4 4 2 3 5" xfId="2784" xr:uid="{00000000-0005-0000-0000-000095700000}"/>
    <cellStyle name="Procent 4 4 2 3 5 2" xfId="7178" xr:uid="{00000000-0005-0000-0000-000096700000}"/>
    <cellStyle name="Procent 4 4 2 3 5 2 2" xfId="15999" xr:uid="{00000000-0005-0000-0000-000097700000}"/>
    <cellStyle name="Procent 4 4 2 3 5 3" xfId="11592" xr:uid="{00000000-0005-0000-0000-000098700000}"/>
    <cellStyle name="Procent 4 4 2 3 6" xfId="4973" xr:uid="{00000000-0005-0000-0000-000099700000}"/>
    <cellStyle name="Procent 4 4 2 3 6 2" xfId="13794" xr:uid="{00000000-0005-0000-0000-00009A700000}"/>
    <cellStyle name="Procent 4 4 2 3 7" xfId="9387" xr:uid="{00000000-0005-0000-0000-00009B700000}"/>
    <cellStyle name="Procent 4 4 2 4" xfId="1257" xr:uid="{00000000-0005-0000-0000-00009C700000}"/>
    <cellStyle name="Procent 4 4 2 4 2" xfId="2324" xr:uid="{00000000-0005-0000-0000-00009D700000}"/>
    <cellStyle name="Procent 4 4 2 4 2 2" xfId="4415" xr:uid="{00000000-0005-0000-0000-00009E700000}"/>
    <cellStyle name="Procent 4 4 2 4 2 2 2" xfId="8837" xr:uid="{00000000-0005-0000-0000-00009F700000}"/>
    <cellStyle name="Procent 4 4 2 4 2 2 2 2" xfId="17658" xr:uid="{00000000-0005-0000-0000-0000A0700000}"/>
    <cellStyle name="Procent 4 4 2 4 2 2 3" xfId="13251" xr:uid="{00000000-0005-0000-0000-0000A1700000}"/>
    <cellStyle name="Procent 4 4 2 4 2 3" xfId="6632" xr:uid="{00000000-0005-0000-0000-0000A2700000}"/>
    <cellStyle name="Procent 4 4 2 4 2 3 2" xfId="15453" xr:uid="{00000000-0005-0000-0000-0000A3700000}"/>
    <cellStyle name="Procent 4 4 2 4 2 4" xfId="11046" xr:uid="{00000000-0005-0000-0000-0000A4700000}"/>
    <cellStyle name="Procent 4 4 2 4 3" xfId="1749" xr:uid="{00000000-0005-0000-0000-0000A5700000}"/>
    <cellStyle name="Procent 4 4 2 4 3 2" xfId="3705" xr:uid="{00000000-0005-0000-0000-0000A6700000}"/>
    <cellStyle name="Procent 4 4 2 4 3 2 2" xfId="8099" xr:uid="{00000000-0005-0000-0000-0000A7700000}"/>
    <cellStyle name="Procent 4 4 2 4 3 2 2 2" xfId="16920" xr:uid="{00000000-0005-0000-0000-0000A8700000}"/>
    <cellStyle name="Procent 4 4 2 4 3 2 3" xfId="12513" xr:uid="{00000000-0005-0000-0000-0000A9700000}"/>
    <cellStyle name="Procent 4 4 2 4 3 3" xfId="5894" xr:uid="{00000000-0005-0000-0000-0000AA700000}"/>
    <cellStyle name="Procent 4 4 2 4 3 3 2" xfId="14715" xr:uid="{00000000-0005-0000-0000-0000AB700000}"/>
    <cellStyle name="Procent 4 4 2 4 3 4" xfId="10308" xr:uid="{00000000-0005-0000-0000-0000AC700000}"/>
    <cellStyle name="Procent 4 4 2 4 4" xfId="2968" xr:uid="{00000000-0005-0000-0000-0000AD700000}"/>
    <cellStyle name="Procent 4 4 2 4 4 2" xfId="7362" xr:uid="{00000000-0005-0000-0000-0000AE700000}"/>
    <cellStyle name="Procent 4 4 2 4 4 2 2" xfId="16183" xr:uid="{00000000-0005-0000-0000-0000AF700000}"/>
    <cellStyle name="Procent 4 4 2 4 4 3" xfId="11776" xr:uid="{00000000-0005-0000-0000-0000B0700000}"/>
    <cellStyle name="Procent 4 4 2 4 5" xfId="5157" xr:uid="{00000000-0005-0000-0000-0000B1700000}"/>
    <cellStyle name="Procent 4 4 2 4 5 2" xfId="13978" xr:uid="{00000000-0005-0000-0000-0000B2700000}"/>
    <cellStyle name="Procent 4 4 2 4 6" xfId="9571" xr:uid="{00000000-0005-0000-0000-0000B3700000}"/>
    <cellStyle name="Procent 4 4 2 5" xfId="2063" xr:uid="{00000000-0005-0000-0000-0000B4700000}"/>
    <cellStyle name="Procent 4 4 2 5 2" xfId="4060" xr:uid="{00000000-0005-0000-0000-0000B5700000}"/>
    <cellStyle name="Procent 4 4 2 5 2 2" xfId="8468" xr:uid="{00000000-0005-0000-0000-0000B6700000}"/>
    <cellStyle name="Procent 4 4 2 5 2 2 2" xfId="17289" xr:uid="{00000000-0005-0000-0000-0000B7700000}"/>
    <cellStyle name="Procent 4 4 2 5 2 3" xfId="12882" xr:uid="{00000000-0005-0000-0000-0000B8700000}"/>
    <cellStyle name="Procent 4 4 2 5 3" xfId="6263" xr:uid="{00000000-0005-0000-0000-0000B9700000}"/>
    <cellStyle name="Procent 4 4 2 5 3 2" xfId="15084" xr:uid="{00000000-0005-0000-0000-0000BA700000}"/>
    <cellStyle name="Procent 4 4 2 5 4" xfId="10677" xr:uid="{00000000-0005-0000-0000-0000BB700000}"/>
    <cellStyle name="Procent 4 4 2 6" xfId="1421" xr:uid="{00000000-0005-0000-0000-0000BC700000}"/>
    <cellStyle name="Procent 4 4 2 6 2" xfId="3336" xr:uid="{00000000-0005-0000-0000-0000BD700000}"/>
    <cellStyle name="Procent 4 4 2 6 2 2" xfId="7730" xr:uid="{00000000-0005-0000-0000-0000BE700000}"/>
    <cellStyle name="Procent 4 4 2 6 2 2 2" xfId="16551" xr:uid="{00000000-0005-0000-0000-0000BF700000}"/>
    <cellStyle name="Procent 4 4 2 6 2 3" xfId="12144" xr:uid="{00000000-0005-0000-0000-0000C0700000}"/>
    <cellStyle name="Procent 4 4 2 6 3" xfId="5525" xr:uid="{00000000-0005-0000-0000-0000C1700000}"/>
    <cellStyle name="Procent 4 4 2 6 3 2" xfId="14346" xr:uid="{00000000-0005-0000-0000-0000C2700000}"/>
    <cellStyle name="Procent 4 4 2 6 4" xfId="9939" xr:uid="{00000000-0005-0000-0000-0000C3700000}"/>
    <cellStyle name="Procent 4 4 2 7" xfId="2600" xr:uid="{00000000-0005-0000-0000-0000C4700000}"/>
    <cellStyle name="Procent 4 4 2 7 2" xfId="6993" xr:uid="{00000000-0005-0000-0000-0000C5700000}"/>
    <cellStyle name="Procent 4 4 2 7 2 2" xfId="15814" xr:uid="{00000000-0005-0000-0000-0000C6700000}"/>
    <cellStyle name="Procent 4 4 2 7 3" xfId="11407" xr:uid="{00000000-0005-0000-0000-0000C7700000}"/>
    <cellStyle name="Procent 4 4 2 8" xfId="4788" xr:uid="{00000000-0005-0000-0000-0000C8700000}"/>
    <cellStyle name="Procent 4 4 2 8 2" xfId="13609" xr:uid="{00000000-0005-0000-0000-0000C9700000}"/>
    <cellStyle name="Procent 4 4 2 9" xfId="9202" xr:uid="{00000000-0005-0000-0000-0000CA700000}"/>
    <cellStyle name="Procent 4 4 3" xfId="1144" xr:uid="{00000000-0005-0000-0000-0000CB700000}"/>
    <cellStyle name="Procent 4 4 3 2" xfId="1138" xr:uid="{00000000-0005-0000-0000-0000CC700000}"/>
    <cellStyle name="Procent 4 4 3 2 2" xfId="1326" xr:uid="{00000000-0005-0000-0000-0000CD700000}"/>
    <cellStyle name="Procent 4 4 3 2 2 2" xfId="2474" xr:uid="{00000000-0005-0000-0000-0000CE700000}"/>
    <cellStyle name="Procent 4 4 3 2 2 2 2" xfId="4644" xr:uid="{00000000-0005-0000-0000-0000CF700000}"/>
    <cellStyle name="Procent 4 4 3 2 2 2 2 2" xfId="9067" xr:uid="{00000000-0005-0000-0000-0000D0700000}"/>
    <cellStyle name="Procent 4 4 3 2 2 2 2 2 2" xfId="17888" xr:uid="{00000000-0005-0000-0000-0000D1700000}"/>
    <cellStyle name="Procent 4 4 3 2 2 2 2 3" xfId="13481" xr:uid="{00000000-0005-0000-0000-0000D2700000}"/>
    <cellStyle name="Procent 4 4 3 2 2 2 3" xfId="6862" xr:uid="{00000000-0005-0000-0000-0000D3700000}"/>
    <cellStyle name="Procent 4 4 3 2 2 2 3 2" xfId="15683" xr:uid="{00000000-0005-0000-0000-0000D4700000}"/>
    <cellStyle name="Procent 4 4 3 2 2 2 4" xfId="11276" xr:uid="{00000000-0005-0000-0000-0000D5700000}"/>
    <cellStyle name="Procent 4 4 3 2 2 3" xfId="1978" xr:uid="{00000000-0005-0000-0000-0000D6700000}"/>
    <cellStyle name="Procent 4 4 3 2 2 3 2" xfId="3935" xr:uid="{00000000-0005-0000-0000-0000D7700000}"/>
    <cellStyle name="Procent 4 4 3 2 2 3 2 2" xfId="8329" xr:uid="{00000000-0005-0000-0000-0000D8700000}"/>
    <cellStyle name="Procent 4 4 3 2 2 3 2 2 2" xfId="17150" xr:uid="{00000000-0005-0000-0000-0000D9700000}"/>
    <cellStyle name="Procent 4 4 3 2 2 3 2 3" xfId="12743" xr:uid="{00000000-0005-0000-0000-0000DA700000}"/>
    <cellStyle name="Procent 4 4 3 2 2 3 3" xfId="6124" xr:uid="{00000000-0005-0000-0000-0000DB700000}"/>
    <cellStyle name="Procent 4 4 3 2 2 3 3 2" xfId="14945" xr:uid="{00000000-0005-0000-0000-0000DC700000}"/>
    <cellStyle name="Procent 4 4 3 2 2 3 4" xfId="10538" xr:uid="{00000000-0005-0000-0000-0000DD700000}"/>
    <cellStyle name="Procent 4 4 3 2 2 4" xfId="3198" xr:uid="{00000000-0005-0000-0000-0000DE700000}"/>
    <cellStyle name="Procent 4 4 3 2 2 4 2" xfId="7592" xr:uid="{00000000-0005-0000-0000-0000DF700000}"/>
    <cellStyle name="Procent 4 4 3 2 2 4 2 2" xfId="16413" xr:uid="{00000000-0005-0000-0000-0000E0700000}"/>
    <cellStyle name="Procent 4 4 3 2 2 4 3" xfId="12006" xr:uid="{00000000-0005-0000-0000-0000E1700000}"/>
    <cellStyle name="Procent 4 4 3 2 2 5" xfId="5387" xr:uid="{00000000-0005-0000-0000-0000E2700000}"/>
    <cellStyle name="Procent 4 4 3 2 2 5 2" xfId="14208" xr:uid="{00000000-0005-0000-0000-0000E3700000}"/>
    <cellStyle name="Procent 4 4 3 2 2 6" xfId="9801" xr:uid="{00000000-0005-0000-0000-0000E4700000}"/>
    <cellStyle name="Procent 4 4 3 2 3" xfId="2213" xr:uid="{00000000-0005-0000-0000-0000E5700000}"/>
    <cellStyle name="Procent 4 4 3 2 3 2" xfId="4289" xr:uid="{00000000-0005-0000-0000-0000E6700000}"/>
    <cellStyle name="Procent 4 4 3 2 3 2 2" xfId="8698" xr:uid="{00000000-0005-0000-0000-0000E7700000}"/>
    <cellStyle name="Procent 4 4 3 2 3 2 2 2" xfId="17519" xr:uid="{00000000-0005-0000-0000-0000E8700000}"/>
    <cellStyle name="Procent 4 4 3 2 3 2 3" xfId="13112" xr:uid="{00000000-0005-0000-0000-0000E9700000}"/>
    <cellStyle name="Procent 4 4 3 2 3 3" xfId="6493" xr:uid="{00000000-0005-0000-0000-0000EA700000}"/>
    <cellStyle name="Procent 4 4 3 2 3 3 2" xfId="15314" xr:uid="{00000000-0005-0000-0000-0000EB700000}"/>
    <cellStyle name="Procent 4 4 3 2 3 4" xfId="10907" xr:uid="{00000000-0005-0000-0000-0000EC700000}"/>
    <cellStyle name="Procent 4 4 3 2 4" xfId="1623" xr:uid="{00000000-0005-0000-0000-0000ED700000}"/>
    <cellStyle name="Procent 4 4 3 2 4 2" xfId="3566" xr:uid="{00000000-0005-0000-0000-0000EE700000}"/>
    <cellStyle name="Procent 4 4 3 2 4 2 2" xfId="7960" xr:uid="{00000000-0005-0000-0000-0000EF700000}"/>
    <cellStyle name="Procent 4 4 3 2 4 2 2 2" xfId="16781" xr:uid="{00000000-0005-0000-0000-0000F0700000}"/>
    <cellStyle name="Procent 4 4 3 2 4 2 3" xfId="12374" xr:uid="{00000000-0005-0000-0000-0000F1700000}"/>
    <cellStyle name="Procent 4 4 3 2 4 3" xfId="5755" xr:uid="{00000000-0005-0000-0000-0000F2700000}"/>
    <cellStyle name="Procent 4 4 3 2 4 3 2" xfId="14576" xr:uid="{00000000-0005-0000-0000-0000F3700000}"/>
    <cellStyle name="Procent 4 4 3 2 4 4" xfId="10169" xr:uid="{00000000-0005-0000-0000-0000F4700000}"/>
    <cellStyle name="Procent 4 4 3 2 5" xfId="2829" xr:uid="{00000000-0005-0000-0000-0000F5700000}"/>
    <cellStyle name="Procent 4 4 3 2 5 2" xfId="7223" xr:uid="{00000000-0005-0000-0000-0000F6700000}"/>
    <cellStyle name="Procent 4 4 3 2 5 2 2" xfId="16044" xr:uid="{00000000-0005-0000-0000-0000F7700000}"/>
    <cellStyle name="Procent 4 4 3 2 5 3" xfId="11637" xr:uid="{00000000-0005-0000-0000-0000F8700000}"/>
    <cellStyle name="Procent 4 4 3 2 6" xfId="5018" xr:uid="{00000000-0005-0000-0000-0000F9700000}"/>
    <cellStyle name="Procent 4 4 3 2 6 2" xfId="13839" xr:uid="{00000000-0005-0000-0000-0000FA700000}"/>
    <cellStyle name="Procent 4 4 3 2 7" xfId="9432" xr:uid="{00000000-0005-0000-0000-0000FB700000}"/>
    <cellStyle name="Procent 4 4 3 3" xfId="1064" xr:uid="{00000000-0005-0000-0000-0000FC700000}"/>
    <cellStyle name="Procent 4 4 3 3 2" xfId="2343" xr:uid="{00000000-0005-0000-0000-0000FD700000}"/>
    <cellStyle name="Procent 4 4 3 3 2 2" xfId="4460" xr:uid="{00000000-0005-0000-0000-0000FE700000}"/>
    <cellStyle name="Procent 4 4 3 3 2 2 2" xfId="8882" xr:uid="{00000000-0005-0000-0000-0000FF700000}"/>
    <cellStyle name="Procent 4 4 3 3 2 2 2 2" xfId="17703" xr:uid="{00000000-0005-0000-0000-000000710000}"/>
    <cellStyle name="Procent 4 4 3 3 2 2 3" xfId="13296" xr:uid="{00000000-0005-0000-0000-000001710000}"/>
    <cellStyle name="Procent 4 4 3 3 2 3" xfId="6677" xr:uid="{00000000-0005-0000-0000-000002710000}"/>
    <cellStyle name="Procent 4 4 3 3 2 3 2" xfId="15498" xr:uid="{00000000-0005-0000-0000-000003710000}"/>
    <cellStyle name="Procent 4 4 3 3 2 4" xfId="11091" xr:uid="{00000000-0005-0000-0000-000004710000}"/>
    <cellStyle name="Procent 4 4 3 3 3" xfId="1794" xr:uid="{00000000-0005-0000-0000-000005710000}"/>
    <cellStyle name="Procent 4 4 3 3 3 2" xfId="3750" xr:uid="{00000000-0005-0000-0000-000006710000}"/>
    <cellStyle name="Procent 4 4 3 3 3 2 2" xfId="8144" xr:uid="{00000000-0005-0000-0000-000007710000}"/>
    <cellStyle name="Procent 4 4 3 3 3 2 2 2" xfId="16965" xr:uid="{00000000-0005-0000-0000-000008710000}"/>
    <cellStyle name="Procent 4 4 3 3 3 2 3" xfId="12558" xr:uid="{00000000-0005-0000-0000-000009710000}"/>
    <cellStyle name="Procent 4 4 3 3 3 3" xfId="5939" xr:uid="{00000000-0005-0000-0000-00000A710000}"/>
    <cellStyle name="Procent 4 4 3 3 3 3 2" xfId="14760" xr:uid="{00000000-0005-0000-0000-00000B710000}"/>
    <cellStyle name="Procent 4 4 3 3 3 4" xfId="10353" xr:uid="{00000000-0005-0000-0000-00000C710000}"/>
    <cellStyle name="Procent 4 4 3 3 4" xfId="3013" xr:uid="{00000000-0005-0000-0000-00000D710000}"/>
    <cellStyle name="Procent 4 4 3 3 4 2" xfId="7407" xr:uid="{00000000-0005-0000-0000-00000E710000}"/>
    <cellStyle name="Procent 4 4 3 3 4 2 2" xfId="16228" xr:uid="{00000000-0005-0000-0000-00000F710000}"/>
    <cellStyle name="Procent 4 4 3 3 4 3" xfId="11821" xr:uid="{00000000-0005-0000-0000-000010710000}"/>
    <cellStyle name="Procent 4 4 3 3 5" xfId="5202" xr:uid="{00000000-0005-0000-0000-000011710000}"/>
    <cellStyle name="Procent 4 4 3 3 5 2" xfId="14023" xr:uid="{00000000-0005-0000-0000-000012710000}"/>
    <cellStyle name="Procent 4 4 3 3 6" xfId="9616" xr:uid="{00000000-0005-0000-0000-000013710000}"/>
    <cellStyle name="Procent 4 4 3 4" xfId="2082" xr:uid="{00000000-0005-0000-0000-000014710000}"/>
    <cellStyle name="Procent 4 4 3 4 2" xfId="4105" xr:uid="{00000000-0005-0000-0000-000015710000}"/>
    <cellStyle name="Procent 4 4 3 4 2 2" xfId="8513" xr:uid="{00000000-0005-0000-0000-000016710000}"/>
    <cellStyle name="Procent 4 4 3 4 2 2 2" xfId="17334" xr:uid="{00000000-0005-0000-0000-000017710000}"/>
    <cellStyle name="Procent 4 4 3 4 2 3" xfId="12927" xr:uid="{00000000-0005-0000-0000-000018710000}"/>
    <cellStyle name="Procent 4 4 3 4 3" xfId="6308" xr:uid="{00000000-0005-0000-0000-000019710000}"/>
    <cellStyle name="Procent 4 4 3 4 3 2" xfId="15129" xr:uid="{00000000-0005-0000-0000-00001A710000}"/>
    <cellStyle name="Procent 4 4 3 4 4" xfId="10722" xr:uid="{00000000-0005-0000-0000-00001B710000}"/>
    <cellStyle name="Procent 4 4 3 5" xfId="1440" xr:uid="{00000000-0005-0000-0000-00001C710000}"/>
    <cellStyle name="Procent 4 4 3 5 2" xfId="3381" xr:uid="{00000000-0005-0000-0000-00001D710000}"/>
    <cellStyle name="Procent 4 4 3 5 2 2" xfId="7775" xr:uid="{00000000-0005-0000-0000-00001E710000}"/>
    <cellStyle name="Procent 4 4 3 5 2 2 2" xfId="16596" xr:uid="{00000000-0005-0000-0000-00001F710000}"/>
    <cellStyle name="Procent 4 4 3 5 2 3" xfId="12189" xr:uid="{00000000-0005-0000-0000-000020710000}"/>
    <cellStyle name="Procent 4 4 3 5 3" xfId="5570" xr:uid="{00000000-0005-0000-0000-000021710000}"/>
    <cellStyle name="Procent 4 4 3 5 3 2" xfId="14391" xr:uid="{00000000-0005-0000-0000-000022710000}"/>
    <cellStyle name="Procent 4 4 3 5 4" xfId="9984" xr:uid="{00000000-0005-0000-0000-000023710000}"/>
    <cellStyle name="Procent 4 4 3 6" xfId="2645" xr:uid="{00000000-0005-0000-0000-000024710000}"/>
    <cellStyle name="Procent 4 4 3 6 2" xfId="7038" xr:uid="{00000000-0005-0000-0000-000025710000}"/>
    <cellStyle name="Procent 4 4 3 6 2 2" xfId="15859" xr:uid="{00000000-0005-0000-0000-000026710000}"/>
    <cellStyle name="Procent 4 4 3 6 3" xfId="11452" xr:uid="{00000000-0005-0000-0000-000027710000}"/>
    <cellStyle name="Procent 4 4 3 7" xfId="4833" xr:uid="{00000000-0005-0000-0000-000028710000}"/>
    <cellStyle name="Procent 4 4 3 7 2" xfId="13654" xr:uid="{00000000-0005-0000-0000-000029710000}"/>
    <cellStyle name="Procent 4 4 3 8" xfId="9247" xr:uid="{00000000-0005-0000-0000-00002A710000}"/>
    <cellStyle name="Procent 4 4 4" xfId="1110" xr:uid="{00000000-0005-0000-0000-00002B710000}"/>
    <cellStyle name="Procent 4 4 4 2" xfId="1174" xr:uid="{00000000-0005-0000-0000-00002C710000}"/>
    <cellStyle name="Procent 4 4 4 2 2" xfId="2409" xr:uid="{00000000-0005-0000-0000-00002D710000}"/>
    <cellStyle name="Procent 4 4 4 2 2 2" xfId="4553" xr:uid="{00000000-0005-0000-0000-00002E710000}"/>
    <cellStyle name="Procent 4 4 4 2 2 2 2" xfId="8975" xr:uid="{00000000-0005-0000-0000-00002F710000}"/>
    <cellStyle name="Procent 4 4 4 2 2 2 2 2" xfId="17796" xr:uid="{00000000-0005-0000-0000-000030710000}"/>
    <cellStyle name="Procent 4 4 4 2 2 2 3" xfId="13389" xr:uid="{00000000-0005-0000-0000-000031710000}"/>
    <cellStyle name="Procent 4 4 4 2 2 3" xfId="6770" xr:uid="{00000000-0005-0000-0000-000032710000}"/>
    <cellStyle name="Procent 4 4 4 2 2 3 2" xfId="15591" xr:uid="{00000000-0005-0000-0000-000033710000}"/>
    <cellStyle name="Procent 4 4 4 2 2 4" xfId="11184" xr:uid="{00000000-0005-0000-0000-000034710000}"/>
    <cellStyle name="Procent 4 4 4 2 3" xfId="1887" xr:uid="{00000000-0005-0000-0000-000035710000}"/>
    <cellStyle name="Procent 4 4 4 2 3 2" xfId="3843" xr:uid="{00000000-0005-0000-0000-000036710000}"/>
    <cellStyle name="Procent 4 4 4 2 3 2 2" xfId="8237" xr:uid="{00000000-0005-0000-0000-000037710000}"/>
    <cellStyle name="Procent 4 4 4 2 3 2 2 2" xfId="17058" xr:uid="{00000000-0005-0000-0000-000038710000}"/>
    <cellStyle name="Procent 4 4 4 2 3 2 3" xfId="12651" xr:uid="{00000000-0005-0000-0000-000039710000}"/>
    <cellStyle name="Procent 4 4 4 2 3 3" xfId="6032" xr:uid="{00000000-0005-0000-0000-00003A710000}"/>
    <cellStyle name="Procent 4 4 4 2 3 3 2" xfId="14853" xr:uid="{00000000-0005-0000-0000-00003B710000}"/>
    <cellStyle name="Procent 4 4 4 2 3 4" xfId="10446" xr:uid="{00000000-0005-0000-0000-00003C710000}"/>
    <cellStyle name="Procent 4 4 4 2 4" xfId="3106" xr:uid="{00000000-0005-0000-0000-00003D710000}"/>
    <cellStyle name="Procent 4 4 4 2 4 2" xfId="7500" xr:uid="{00000000-0005-0000-0000-00003E710000}"/>
    <cellStyle name="Procent 4 4 4 2 4 2 2" xfId="16321" xr:uid="{00000000-0005-0000-0000-00003F710000}"/>
    <cellStyle name="Procent 4 4 4 2 4 3" xfId="11914" xr:uid="{00000000-0005-0000-0000-000040710000}"/>
    <cellStyle name="Procent 4 4 4 2 5" xfId="5295" xr:uid="{00000000-0005-0000-0000-000041710000}"/>
    <cellStyle name="Procent 4 4 4 2 5 2" xfId="14116" xr:uid="{00000000-0005-0000-0000-000042710000}"/>
    <cellStyle name="Procent 4 4 4 2 6" xfId="9709" xr:uid="{00000000-0005-0000-0000-000043710000}"/>
    <cellStyle name="Procent 4 4 4 3" xfId="2148" xr:uid="{00000000-0005-0000-0000-000044710000}"/>
    <cellStyle name="Procent 4 4 4 3 2" xfId="4198" xr:uid="{00000000-0005-0000-0000-000045710000}"/>
    <cellStyle name="Procent 4 4 4 3 2 2" xfId="8606" xr:uid="{00000000-0005-0000-0000-000046710000}"/>
    <cellStyle name="Procent 4 4 4 3 2 2 2" xfId="17427" xr:uid="{00000000-0005-0000-0000-000047710000}"/>
    <cellStyle name="Procent 4 4 4 3 2 3" xfId="13020" xr:uid="{00000000-0005-0000-0000-000048710000}"/>
    <cellStyle name="Procent 4 4 4 3 3" xfId="6401" xr:uid="{00000000-0005-0000-0000-000049710000}"/>
    <cellStyle name="Procent 4 4 4 3 3 2" xfId="15222" xr:uid="{00000000-0005-0000-0000-00004A710000}"/>
    <cellStyle name="Procent 4 4 4 3 4" xfId="10815" xr:uid="{00000000-0005-0000-0000-00004B710000}"/>
    <cellStyle name="Procent 4 4 4 4" xfId="1532" xr:uid="{00000000-0005-0000-0000-00004C710000}"/>
    <cellStyle name="Procent 4 4 4 4 2" xfId="3474" xr:uid="{00000000-0005-0000-0000-00004D710000}"/>
    <cellStyle name="Procent 4 4 4 4 2 2" xfId="7868" xr:uid="{00000000-0005-0000-0000-00004E710000}"/>
    <cellStyle name="Procent 4 4 4 4 2 2 2" xfId="16689" xr:uid="{00000000-0005-0000-0000-00004F710000}"/>
    <cellStyle name="Procent 4 4 4 4 2 3" xfId="12282" xr:uid="{00000000-0005-0000-0000-000050710000}"/>
    <cellStyle name="Procent 4 4 4 4 3" xfId="5663" xr:uid="{00000000-0005-0000-0000-000051710000}"/>
    <cellStyle name="Procent 4 4 4 4 3 2" xfId="14484" xr:uid="{00000000-0005-0000-0000-000052710000}"/>
    <cellStyle name="Procent 4 4 4 4 4" xfId="10077" xr:uid="{00000000-0005-0000-0000-000053710000}"/>
    <cellStyle name="Procent 4 4 4 5" xfId="2738" xr:uid="{00000000-0005-0000-0000-000054710000}"/>
    <cellStyle name="Procent 4 4 4 5 2" xfId="7131" xr:uid="{00000000-0005-0000-0000-000055710000}"/>
    <cellStyle name="Procent 4 4 4 5 2 2" xfId="15952" xr:uid="{00000000-0005-0000-0000-000056710000}"/>
    <cellStyle name="Procent 4 4 4 5 3" xfId="11545" xr:uid="{00000000-0005-0000-0000-000057710000}"/>
    <cellStyle name="Procent 4 4 4 6" xfId="4926" xr:uid="{00000000-0005-0000-0000-000058710000}"/>
    <cellStyle name="Procent 4 4 4 6 2" xfId="13747" xr:uid="{00000000-0005-0000-0000-000059710000}"/>
    <cellStyle name="Procent 4 4 4 7" xfId="9340" xr:uid="{00000000-0005-0000-0000-00005A710000}"/>
    <cellStyle name="Procent 4 4 5" xfId="1154" xr:uid="{00000000-0005-0000-0000-00005B710000}"/>
    <cellStyle name="Procent 4 4 5 2" xfId="2278" xr:uid="{00000000-0005-0000-0000-00005C710000}"/>
    <cellStyle name="Procent 4 4 5 2 2" xfId="4369" xr:uid="{00000000-0005-0000-0000-00005D710000}"/>
    <cellStyle name="Procent 4 4 5 2 2 2" xfId="8790" xr:uid="{00000000-0005-0000-0000-00005E710000}"/>
    <cellStyle name="Procent 4 4 5 2 2 2 2" xfId="17611" xr:uid="{00000000-0005-0000-0000-00005F710000}"/>
    <cellStyle name="Procent 4 4 5 2 2 3" xfId="13204" xr:uid="{00000000-0005-0000-0000-000060710000}"/>
    <cellStyle name="Procent 4 4 5 2 3" xfId="6585" xr:uid="{00000000-0005-0000-0000-000061710000}"/>
    <cellStyle name="Procent 4 4 5 2 3 2" xfId="15406" xr:uid="{00000000-0005-0000-0000-000062710000}"/>
    <cellStyle name="Procent 4 4 5 2 4" xfId="10999" xr:uid="{00000000-0005-0000-0000-000063710000}"/>
    <cellStyle name="Procent 4 4 5 3" xfId="1703" xr:uid="{00000000-0005-0000-0000-000064710000}"/>
    <cellStyle name="Procent 4 4 5 3 2" xfId="3658" xr:uid="{00000000-0005-0000-0000-000065710000}"/>
    <cellStyle name="Procent 4 4 5 3 2 2" xfId="8052" xr:uid="{00000000-0005-0000-0000-000066710000}"/>
    <cellStyle name="Procent 4 4 5 3 2 2 2" xfId="16873" xr:uid="{00000000-0005-0000-0000-000067710000}"/>
    <cellStyle name="Procent 4 4 5 3 2 3" xfId="12466" xr:uid="{00000000-0005-0000-0000-000068710000}"/>
    <cellStyle name="Procent 4 4 5 3 3" xfId="5847" xr:uid="{00000000-0005-0000-0000-000069710000}"/>
    <cellStyle name="Procent 4 4 5 3 3 2" xfId="14668" xr:uid="{00000000-0005-0000-0000-00006A710000}"/>
    <cellStyle name="Procent 4 4 5 3 4" xfId="10261" xr:uid="{00000000-0005-0000-0000-00006B710000}"/>
    <cellStyle name="Procent 4 4 5 4" xfId="2921" xr:uid="{00000000-0005-0000-0000-00006C710000}"/>
    <cellStyle name="Procent 4 4 5 4 2" xfId="7315" xr:uid="{00000000-0005-0000-0000-00006D710000}"/>
    <cellStyle name="Procent 4 4 5 4 2 2" xfId="16136" xr:uid="{00000000-0005-0000-0000-00006E710000}"/>
    <cellStyle name="Procent 4 4 5 4 3" xfId="11729" xr:uid="{00000000-0005-0000-0000-00006F710000}"/>
    <cellStyle name="Procent 4 4 5 5" xfId="5110" xr:uid="{00000000-0005-0000-0000-000070710000}"/>
    <cellStyle name="Procent 4 4 5 5 2" xfId="13931" xr:uid="{00000000-0005-0000-0000-000071710000}"/>
    <cellStyle name="Procent 4 4 5 6" xfId="9524" xr:uid="{00000000-0005-0000-0000-000072710000}"/>
    <cellStyle name="Procent 4 4 6" xfId="2043" xr:uid="{00000000-0005-0000-0000-000073710000}"/>
    <cellStyle name="Procent 4 4 6 2" xfId="4014" xr:uid="{00000000-0005-0000-0000-000074710000}"/>
    <cellStyle name="Procent 4 4 6 2 2" xfId="8421" xr:uid="{00000000-0005-0000-0000-000075710000}"/>
    <cellStyle name="Procent 4 4 6 2 2 2" xfId="17242" xr:uid="{00000000-0005-0000-0000-000076710000}"/>
    <cellStyle name="Procent 4 4 6 2 3" xfId="12835" xr:uid="{00000000-0005-0000-0000-000077710000}"/>
    <cellStyle name="Procent 4 4 6 3" xfId="6216" xr:uid="{00000000-0005-0000-0000-000078710000}"/>
    <cellStyle name="Procent 4 4 6 3 2" xfId="15037" xr:uid="{00000000-0005-0000-0000-000079710000}"/>
    <cellStyle name="Procent 4 4 6 4" xfId="10630" xr:uid="{00000000-0005-0000-0000-00007A710000}"/>
    <cellStyle name="Procent 4 4 7" xfId="1375" xr:uid="{00000000-0005-0000-0000-00007B710000}"/>
    <cellStyle name="Procent 4 4 7 2" xfId="3289" xr:uid="{00000000-0005-0000-0000-00007C710000}"/>
    <cellStyle name="Procent 4 4 7 2 2" xfId="7683" xr:uid="{00000000-0005-0000-0000-00007D710000}"/>
    <cellStyle name="Procent 4 4 7 2 2 2" xfId="16504" xr:uid="{00000000-0005-0000-0000-00007E710000}"/>
    <cellStyle name="Procent 4 4 7 2 3" xfId="12097" xr:uid="{00000000-0005-0000-0000-00007F710000}"/>
    <cellStyle name="Procent 4 4 7 3" xfId="5478" xr:uid="{00000000-0005-0000-0000-000080710000}"/>
    <cellStyle name="Procent 4 4 7 3 2" xfId="14299" xr:uid="{00000000-0005-0000-0000-000081710000}"/>
    <cellStyle name="Procent 4 4 7 4" xfId="9892" xr:uid="{00000000-0005-0000-0000-000082710000}"/>
    <cellStyle name="Procent 4 4 8" xfId="2554" xr:uid="{00000000-0005-0000-0000-000083710000}"/>
    <cellStyle name="Procent 4 4 8 2" xfId="6946" xr:uid="{00000000-0005-0000-0000-000084710000}"/>
    <cellStyle name="Procent 4 4 8 2 2" xfId="15767" xr:uid="{00000000-0005-0000-0000-000085710000}"/>
    <cellStyle name="Procent 4 4 8 3" xfId="11360" xr:uid="{00000000-0005-0000-0000-000086710000}"/>
    <cellStyle name="Procent 4 4 9" xfId="4741" xr:uid="{00000000-0005-0000-0000-000087710000}"/>
    <cellStyle name="Procent 4 4 9 2" xfId="13562" xr:uid="{00000000-0005-0000-0000-000088710000}"/>
    <cellStyle name="Procent 4 5" xfId="1135" xr:uid="{00000000-0005-0000-0000-000089710000}"/>
    <cellStyle name="Procent 4 5 2" xfId="1224" xr:uid="{00000000-0005-0000-0000-00008A710000}"/>
    <cellStyle name="Procent 4 5 2 2" xfId="1211" xr:uid="{00000000-0005-0000-0000-00008B710000}"/>
    <cellStyle name="Procent 4 5 2 2 2" xfId="1335" xr:uid="{00000000-0005-0000-0000-00008C710000}"/>
    <cellStyle name="Procent 4 5 2 2 2 2" xfId="2496" xr:uid="{00000000-0005-0000-0000-00008D710000}"/>
    <cellStyle name="Procent 4 5 2 2 2 2 2" xfId="4666" xr:uid="{00000000-0005-0000-0000-00008E710000}"/>
    <cellStyle name="Procent 4 5 2 2 2 2 2 2" xfId="9089" xr:uid="{00000000-0005-0000-0000-00008F710000}"/>
    <cellStyle name="Procent 4 5 2 2 2 2 2 2 2" xfId="17910" xr:uid="{00000000-0005-0000-0000-000090710000}"/>
    <cellStyle name="Procent 4 5 2 2 2 2 2 3" xfId="13503" xr:uid="{00000000-0005-0000-0000-000091710000}"/>
    <cellStyle name="Procent 4 5 2 2 2 2 3" xfId="6884" xr:uid="{00000000-0005-0000-0000-000092710000}"/>
    <cellStyle name="Procent 4 5 2 2 2 2 3 2" xfId="15705" xr:uid="{00000000-0005-0000-0000-000093710000}"/>
    <cellStyle name="Procent 4 5 2 2 2 2 4" xfId="11298" xr:uid="{00000000-0005-0000-0000-000094710000}"/>
    <cellStyle name="Procent 4 5 2 2 2 3" xfId="2000" xr:uid="{00000000-0005-0000-0000-000095710000}"/>
    <cellStyle name="Procent 4 5 2 2 2 3 2" xfId="3957" xr:uid="{00000000-0005-0000-0000-000096710000}"/>
    <cellStyle name="Procent 4 5 2 2 2 3 2 2" xfId="8351" xr:uid="{00000000-0005-0000-0000-000097710000}"/>
    <cellStyle name="Procent 4 5 2 2 2 3 2 2 2" xfId="17172" xr:uid="{00000000-0005-0000-0000-000098710000}"/>
    <cellStyle name="Procent 4 5 2 2 2 3 2 3" xfId="12765" xr:uid="{00000000-0005-0000-0000-000099710000}"/>
    <cellStyle name="Procent 4 5 2 2 2 3 3" xfId="6146" xr:uid="{00000000-0005-0000-0000-00009A710000}"/>
    <cellStyle name="Procent 4 5 2 2 2 3 3 2" xfId="14967" xr:uid="{00000000-0005-0000-0000-00009B710000}"/>
    <cellStyle name="Procent 4 5 2 2 2 3 4" xfId="10560" xr:uid="{00000000-0005-0000-0000-00009C710000}"/>
    <cellStyle name="Procent 4 5 2 2 2 4" xfId="3220" xr:uid="{00000000-0005-0000-0000-00009D710000}"/>
    <cellStyle name="Procent 4 5 2 2 2 4 2" xfId="7614" xr:uid="{00000000-0005-0000-0000-00009E710000}"/>
    <cellStyle name="Procent 4 5 2 2 2 4 2 2" xfId="16435" xr:uid="{00000000-0005-0000-0000-00009F710000}"/>
    <cellStyle name="Procent 4 5 2 2 2 4 3" xfId="12028" xr:uid="{00000000-0005-0000-0000-0000A0710000}"/>
    <cellStyle name="Procent 4 5 2 2 2 5" xfId="5409" xr:uid="{00000000-0005-0000-0000-0000A1710000}"/>
    <cellStyle name="Procent 4 5 2 2 2 5 2" xfId="14230" xr:uid="{00000000-0005-0000-0000-0000A2710000}"/>
    <cellStyle name="Procent 4 5 2 2 2 6" xfId="9823" xr:uid="{00000000-0005-0000-0000-0000A3710000}"/>
    <cellStyle name="Procent 4 5 2 2 3" xfId="2235" xr:uid="{00000000-0005-0000-0000-0000A4710000}"/>
    <cellStyle name="Procent 4 5 2 2 3 2" xfId="4311" xr:uid="{00000000-0005-0000-0000-0000A5710000}"/>
    <cellStyle name="Procent 4 5 2 2 3 2 2" xfId="8720" xr:uid="{00000000-0005-0000-0000-0000A6710000}"/>
    <cellStyle name="Procent 4 5 2 2 3 2 2 2" xfId="17541" xr:uid="{00000000-0005-0000-0000-0000A7710000}"/>
    <cellStyle name="Procent 4 5 2 2 3 2 3" xfId="13134" xr:uid="{00000000-0005-0000-0000-0000A8710000}"/>
    <cellStyle name="Procent 4 5 2 2 3 3" xfId="6515" xr:uid="{00000000-0005-0000-0000-0000A9710000}"/>
    <cellStyle name="Procent 4 5 2 2 3 3 2" xfId="15336" xr:uid="{00000000-0005-0000-0000-0000AA710000}"/>
    <cellStyle name="Procent 4 5 2 2 3 4" xfId="10929" xr:uid="{00000000-0005-0000-0000-0000AB710000}"/>
    <cellStyle name="Procent 4 5 2 2 4" xfId="1645" xr:uid="{00000000-0005-0000-0000-0000AC710000}"/>
    <cellStyle name="Procent 4 5 2 2 4 2" xfId="3588" xr:uid="{00000000-0005-0000-0000-0000AD710000}"/>
    <cellStyle name="Procent 4 5 2 2 4 2 2" xfId="7982" xr:uid="{00000000-0005-0000-0000-0000AE710000}"/>
    <cellStyle name="Procent 4 5 2 2 4 2 2 2" xfId="16803" xr:uid="{00000000-0005-0000-0000-0000AF710000}"/>
    <cellStyle name="Procent 4 5 2 2 4 2 3" xfId="12396" xr:uid="{00000000-0005-0000-0000-0000B0710000}"/>
    <cellStyle name="Procent 4 5 2 2 4 3" xfId="5777" xr:uid="{00000000-0005-0000-0000-0000B1710000}"/>
    <cellStyle name="Procent 4 5 2 2 4 3 2" xfId="14598" xr:uid="{00000000-0005-0000-0000-0000B2710000}"/>
    <cellStyle name="Procent 4 5 2 2 4 4" xfId="10191" xr:uid="{00000000-0005-0000-0000-0000B3710000}"/>
    <cellStyle name="Procent 4 5 2 2 5" xfId="2851" xr:uid="{00000000-0005-0000-0000-0000B4710000}"/>
    <cellStyle name="Procent 4 5 2 2 5 2" xfId="7245" xr:uid="{00000000-0005-0000-0000-0000B5710000}"/>
    <cellStyle name="Procent 4 5 2 2 5 2 2" xfId="16066" xr:uid="{00000000-0005-0000-0000-0000B6710000}"/>
    <cellStyle name="Procent 4 5 2 2 5 3" xfId="11659" xr:uid="{00000000-0005-0000-0000-0000B7710000}"/>
    <cellStyle name="Procent 4 5 2 2 6" xfId="5040" xr:uid="{00000000-0005-0000-0000-0000B8710000}"/>
    <cellStyle name="Procent 4 5 2 2 6 2" xfId="13861" xr:uid="{00000000-0005-0000-0000-0000B9710000}"/>
    <cellStyle name="Procent 4 5 2 2 7" xfId="9454" xr:uid="{00000000-0005-0000-0000-0000BA710000}"/>
    <cellStyle name="Procent 4 5 2 3" xfId="1305" xr:uid="{00000000-0005-0000-0000-0000BB710000}"/>
    <cellStyle name="Procent 4 5 2 3 2" xfId="2365" xr:uid="{00000000-0005-0000-0000-0000BC710000}"/>
    <cellStyle name="Procent 4 5 2 3 2 2" xfId="4482" xr:uid="{00000000-0005-0000-0000-0000BD710000}"/>
    <cellStyle name="Procent 4 5 2 3 2 2 2" xfId="8904" xr:uid="{00000000-0005-0000-0000-0000BE710000}"/>
    <cellStyle name="Procent 4 5 2 3 2 2 2 2" xfId="17725" xr:uid="{00000000-0005-0000-0000-0000BF710000}"/>
    <cellStyle name="Procent 4 5 2 3 2 2 3" xfId="13318" xr:uid="{00000000-0005-0000-0000-0000C0710000}"/>
    <cellStyle name="Procent 4 5 2 3 2 3" xfId="6699" xr:uid="{00000000-0005-0000-0000-0000C1710000}"/>
    <cellStyle name="Procent 4 5 2 3 2 3 2" xfId="15520" xr:uid="{00000000-0005-0000-0000-0000C2710000}"/>
    <cellStyle name="Procent 4 5 2 3 2 4" xfId="11113" xr:uid="{00000000-0005-0000-0000-0000C3710000}"/>
    <cellStyle name="Procent 4 5 2 3 3" xfId="1816" xr:uid="{00000000-0005-0000-0000-0000C4710000}"/>
    <cellStyle name="Procent 4 5 2 3 3 2" xfId="3772" xr:uid="{00000000-0005-0000-0000-0000C5710000}"/>
    <cellStyle name="Procent 4 5 2 3 3 2 2" xfId="8166" xr:uid="{00000000-0005-0000-0000-0000C6710000}"/>
    <cellStyle name="Procent 4 5 2 3 3 2 2 2" xfId="16987" xr:uid="{00000000-0005-0000-0000-0000C7710000}"/>
    <cellStyle name="Procent 4 5 2 3 3 2 3" xfId="12580" xr:uid="{00000000-0005-0000-0000-0000C8710000}"/>
    <cellStyle name="Procent 4 5 2 3 3 3" xfId="5961" xr:uid="{00000000-0005-0000-0000-0000C9710000}"/>
    <cellStyle name="Procent 4 5 2 3 3 3 2" xfId="14782" xr:uid="{00000000-0005-0000-0000-0000CA710000}"/>
    <cellStyle name="Procent 4 5 2 3 3 4" xfId="10375" xr:uid="{00000000-0005-0000-0000-0000CB710000}"/>
    <cellStyle name="Procent 4 5 2 3 4" xfId="3035" xr:uid="{00000000-0005-0000-0000-0000CC710000}"/>
    <cellStyle name="Procent 4 5 2 3 4 2" xfId="7429" xr:uid="{00000000-0005-0000-0000-0000CD710000}"/>
    <cellStyle name="Procent 4 5 2 3 4 2 2" xfId="16250" xr:uid="{00000000-0005-0000-0000-0000CE710000}"/>
    <cellStyle name="Procent 4 5 2 3 4 3" xfId="11843" xr:uid="{00000000-0005-0000-0000-0000CF710000}"/>
    <cellStyle name="Procent 4 5 2 3 5" xfId="5224" xr:uid="{00000000-0005-0000-0000-0000D0710000}"/>
    <cellStyle name="Procent 4 5 2 3 5 2" xfId="14045" xr:uid="{00000000-0005-0000-0000-0000D1710000}"/>
    <cellStyle name="Procent 4 5 2 3 6" xfId="9638" xr:uid="{00000000-0005-0000-0000-0000D2710000}"/>
    <cellStyle name="Procent 4 5 2 4" xfId="2104" xr:uid="{00000000-0005-0000-0000-0000D3710000}"/>
    <cellStyle name="Procent 4 5 2 4 2" xfId="4127" xr:uid="{00000000-0005-0000-0000-0000D4710000}"/>
    <cellStyle name="Procent 4 5 2 4 2 2" xfId="8535" xr:uid="{00000000-0005-0000-0000-0000D5710000}"/>
    <cellStyle name="Procent 4 5 2 4 2 2 2" xfId="17356" xr:uid="{00000000-0005-0000-0000-0000D6710000}"/>
    <cellStyle name="Procent 4 5 2 4 2 3" xfId="12949" xr:uid="{00000000-0005-0000-0000-0000D7710000}"/>
    <cellStyle name="Procent 4 5 2 4 3" xfId="6330" xr:uid="{00000000-0005-0000-0000-0000D8710000}"/>
    <cellStyle name="Procent 4 5 2 4 3 2" xfId="15151" xr:uid="{00000000-0005-0000-0000-0000D9710000}"/>
    <cellStyle name="Procent 4 5 2 4 4" xfId="10744" xr:uid="{00000000-0005-0000-0000-0000DA710000}"/>
    <cellStyle name="Procent 4 5 2 5" xfId="1462" xr:uid="{00000000-0005-0000-0000-0000DB710000}"/>
    <cellStyle name="Procent 4 5 2 5 2" xfId="3403" xr:uid="{00000000-0005-0000-0000-0000DC710000}"/>
    <cellStyle name="Procent 4 5 2 5 2 2" xfId="7797" xr:uid="{00000000-0005-0000-0000-0000DD710000}"/>
    <cellStyle name="Procent 4 5 2 5 2 2 2" xfId="16618" xr:uid="{00000000-0005-0000-0000-0000DE710000}"/>
    <cellStyle name="Procent 4 5 2 5 2 3" xfId="12211" xr:uid="{00000000-0005-0000-0000-0000DF710000}"/>
    <cellStyle name="Procent 4 5 2 5 3" xfId="5592" xr:uid="{00000000-0005-0000-0000-0000E0710000}"/>
    <cellStyle name="Procent 4 5 2 5 3 2" xfId="14413" xr:uid="{00000000-0005-0000-0000-0000E1710000}"/>
    <cellStyle name="Procent 4 5 2 5 4" xfId="10006" xr:uid="{00000000-0005-0000-0000-0000E2710000}"/>
    <cellStyle name="Procent 4 5 2 6" xfId="2667" xr:uid="{00000000-0005-0000-0000-0000E3710000}"/>
    <cellStyle name="Procent 4 5 2 6 2" xfId="7060" xr:uid="{00000000-0005-0000-0000-0000E4710000}"/>
    <cellStyle name="Procent 4 5 2 6 2 2" xfId="15881" xr:uid="{00000000-0005-0000-0000-0000E5710000}"/>
    <cellStyle name="Procent 4 5 2 6 3" xfId="11474" xr:uid="{00000000-0005-0000-0000-0000E6710000}"/>
    <cellStyle name="Procent 4 5 2 7" xfId="4855" xr:uid="{00000000-0005-0000-0000-0000E7710000}"/>
    <cellStyle name="Procent 4 5 2 7 2" xfId="13676" xr:uid="{00000000-0005-0000-0000-0000E8710000}"/>
    <cellStyle name="Procent 4 5 2 8" xfId="9269" xr:uid="{00000000-0005-0000-0000-0000E9710000}"/>
    <cellStyle name="Procent 4 5 3" xfId="1262" xr:uid="{00000000-0005-0000-0000-0000EA710000}"/>
    <cellStyle name="Procent 4 5 3 2" xfId="1156" xr:uid="{00000000-0005-0000-0000-0000EB710000}"/>
    <cellStyle name="Procent 4 5 3 2 2" xfId="2431" xr:uid="{00000000-0005-0000-0000-0000EC710000}"/>
    <cellStyle name="Procent 4 5 3 2 2 2" xfId="4575" xr:uid="{00000000-0005-0000-0000-0000ED710000}"/>
    <cellStyle name="Procent 4 5 3 2 2 2 2" xfId="8997" xr:uid="{00000000-0005-0000-0000-0000EE710000}"/>
    <cellStyle name="Procent 4 5 3 2 2 2 2 2" xfId="17818" xr:uid="{00000000-0005-0000-0000-0000EF710000}"/>
    <cellStyle name="Procent 4 5 3 2 2 2 3" xfId="13411" xr:uid="{00000000-0005-0000-0000-0000F0710000}"/>
    <cellStyle name="Procent 4 5 3 2 2 3" xfId="6792" xr:uid="{00000000-0005-0000-0000-0000F1710000}"/>
    <cellStyle name="Procent 4 5 3 2 2 3 2" xfId="15613" xr:uid="{00000000-0005-0000-0000-0000F2710000}"/>
    <cellStyle name="Procent 4 5 3 2 2 4" xfId="11206" xr:uid="{00000000-0005-0000-0000-0000F3710000}"/>
    <cellStyle name="Procent 4 5 3 2 3" xfId="1909" xr:uid="{00000000-0005-0000-0000-0000F4710000}"/>
    <cellStyle name="Procent 4 5 3 2 3 2" xfId="3865" xr:uid="{00000000-0005-0000-0000-0000F5710000}"/>
    <cellStyle name="Procent 4 5 3 2 3 2 2" xfId="8259" xr:uid="{00000000-0005-0000-0000-0000F6710000}"/>
    <cellStyle name="Procent 4 5 3 2 3 2 2 2" xfId="17080" xr:uid="{00000000-0005-0000-0000-0000F7710000}"/>
    <cellStyle name="Procent 4 5 3 2 3 2 3" xfId="12673" xr:uid="{00000000-0005-0000-0000-0000F8710000}"/>
    <cellStyle name="Procent 4 5 3 2 3 3" xfId="6054" xr:uid="{00000000-0005-0000-0000-0000F9710000}"/>
    <cellStyle name="Procent 4 5 3 2 3 3 2" xfId="14875" xr:uid="{00000000-0005-0000-0000-0000FA710000}"/>
    <cellStyle name="Procent 4 5 3 2 3 4" xfId="10468" xr:uid="{00000000-0005-0000-0000-0000FB710000}"/>
    <cellStyle name="Procent 4 5 3 2 4" xfId="3128" xr:uid="{00000000-0005-0000-0000-0000FC710000}"/>
    <cellStyle name="Procent 4 5 3 2 4 2" xfId="7522" xr:uid="{00000000-0005-0000-0000-0000FD710000}"/>
    <cellStyle name="Procent 4 5 3 2 4 2 2" xfId="16343" xr:uid="{00000000-0005-0000-0000-0000FE710000}"/>
    <cellStyle name="Procent 4 5 3 2 4 3" xfId="11936" xr:uid="{00000000-0005-0000-0000-0000FF710000}"/>
    <cellStyle name="Procent 4 5 3 2 5" xfId="5317" xr:uid="{00000000-0005-0000-0000-000000720000}"/>
    <cellStyle name="Procent 4 5 3 2 5 2" xfId="14138" xr:uid="{00000000-0005-0000-0000-000001720000}"/>
    <cellStyle name="Procent 4 5 3 2 6" xfId="9731" xr:uid="{00000000-0005-0000-0000-000002720000}"/>
    <cellStyle name="Procent 4 5 3 3" xfId="2170" xr:uid="{00000000-0005-0000-0000-000003720000}"/>
    <cellStyle name="Procent 4 5 3 3 2" xfId="4220" xr:uid="{00000000-0005-0000-0000-000004720000}"/>
    <cellStyle name="Procent 4 5 3 3 2 2" xfId="8628" xr:uid="{00000000-0005-0000-0000-000005720000}"/>
    <cellStyle name="Procent 4 5 3 3 2 2 2" xfId="17449" xr:uid="{00000000-0005-0000-0000-000006720000}"/>
    <cellStyle name="Procent 4 5 3 3 2 3" xfId="13042" xr:uid="{00000000-0005-0000-0000-000007720000}"/>
    <cellStyle name="Procent 4 5 3 3 3" xfId="6423" xr:uid="{00000000-0005-0000-0000-000008720000}"/>
    <cellStyle name="Procent 4 5 3 3 3 2" xfId="15244" xr:uid="{00000000-0005-0000-0000-000009720000}"/>
    <cellStyle name="Procent 4 5 3 3 4" xfId="10837" xr:uid="{00000000-0005-0000-0000-00000A720000}"/>
    <cellStyle name="Procent 4 5 3 4" xfId="1554" xr:uid="{00000000-0005-0000-0000-00000B720000}"/>
    <cellStyle name="Procent 4 5 3 4 2" xfId="3496" xr:uid="{00000000-0005-0000-0000-00000C720000}"/>
    <cellStyle name="Procent 4 5 3 4 2 2" xfId="7890" xr:uid="{00000000-0005-0000-0000-00000D720000}"/>
    <cellStyle name="Procent 4 5 3 4 2 2 2" xfId="16711" xr:uid="{00000000-0005-0000-0000-00000E720000}"/>
    <cellStyle name="Procent 4 5 3 4 2 3" xfId="12304" xr:uid="{00000000-0005-0000-0000-00000F720000}"/>
    <cellStyle name="Procent 4 5 3 4 3" xfId="5685" xr:uid="{00000000-0005-0000-0000-000010720000}"/>
    <cellStyle name="Procent 4 5 3 4 3 2" xfId="14506" xr:uid="{00000000-0005-0000-0000-000011720000}"/>
    <cellStyle name="Procent 4 5 3 4 4" xfId="10099" xr:uid="{00000000-0005-0000-0000-000012720000}"/>
    <cellStyle name="Procent 4 5 3 5" xfId="2760" xr:uid="{00000000-0005-0000-0000-000013720000}"/>
    <cellStyle name="Procent 4 5 3 5 2" xfId="7153" xr:uid="{00000000-0005-0000-0000-000014720000}"/>
    <cellStyle name="Procent 4 5 3 5 2 2" xfId="15974" xr:uid="{00000000-0005-0000-0000-000015720000}"/>
    <cellStyle name="Procent 4 5 3 5 3" xfId="11567" xr:uid="{00000000-0005-0000-0000-000016720000}"/>
    <cellStyle name="Procent 4 5 3 6" xfId="4948" xr:uid="{00000000-0005-0000-0000-000017720000}"/>
    <cellStyle name="Procent 4 5 3 6 2" xfId="13769" xr:uid="{00000000-0005-0000-0000-000018720000}"/>
    <cellStyle name="Procent 4 5 3 7" xfId="9362" xr:uid="{00000000-0005-0000-0000-000019720000}"/>
    <cellStyle name="Procent 4 5 4" xfId="1205" xr:uid="{00000000-0005-0000-0000-00001A720000}"/>
    <cellStyle name="Procent 4 5 4 2" xfId="2300" xr:uid="{00000000-0005-0000-0000-00001B720000}"/>
    <cellStyle name="Procent 4 5 4 2 2" xfId="4391" xr:uid="{00000000-0005-0000-0000-00001C720000}"/>
    <cellStyle name="Procent 4 5 4 2 2 2" xfId="8812" xr:uid="{00000000-0005-0000-0000-00001D720000}"/>
    <cellStyle name="Procent 4 5 4 2 2 2 2" xfId="17633" xr:uid="{00000000-0005-0000-0000-00001E720000}"/>
    <cellStyle name="Procent 4 5 4 2 2 3" xfId="13226" xr:uid="{00000000-0005-0000-0000-00001F720000}"/>
    <cellStyle name="Procent 4 5 4 2 3" xfId="6607" xr:uid="{00000000-0005-0000-0000-000020720000}"/>
    <cellStyle name="Procent 4 5 4 2 3 2" xfId="15428" xr:uid="{00000000-0005-0000-0000-000021720000}"/>
    <cellStyle name="Procent 4 5 4 2 4" xfId="11021" xr:uid="{00000000-0005-0000-0000-000022720000}"/>
    <cellStyle name="Procent 4 5 4 3" xfId="1725" xr:uid="{00000000-0005-0000-0000-000023720000}"/>
    <cellStyle name="Procent 4 5 4 3 2" xfId="3680" xr:uid="{00000000-0005-0000-0000-000024720000}"/>
    <cellStyle name="Procent 4 5 4 3 2 2" xfId="8074" xr:uid="{00000000-0005-0000-0000-000025720000}"/>
    <cellStyle name="Procent 4 5 4 3 2 2 2" xfId="16895" xr:uid="{00000000-0005-0000-0000-000026720000}"/>
    <cellStyle name="Procent 4 5 4 3 2 3" xfId="12488" xr:uid="{00000000-0005-0000-0000-000027720000}"/>
    <cellStyle name="Procent 4 5 4 3 3" xfId="5869" xr:uid="{00000000-0005-0000-0000-000028720000}"/>
    <cellStyle name="Procent 4 5 4 3 3 2" xfId="14690" xr:uid="{00000000-0005-0000-0000-000029720000}"/>
    <cellStyle name="Procent 4 5 4 3 4" xfId="10283" xr:uid="{00000000-0005-0000-0000-00002A720000}"/>
    <cellStyle name="Procent 4 5 4 4" xfId="2943" xr:uid="{00000000-0005-0000-0000-00002B720000}"/>
    <cellStyle name="Procent 4 5 4 4 2" xfId="7337" xr:uid="{00000000-0005-0000-0000-00002C720000}"/>
    <cellStyle name="Procent 4 5 4 4 2 2" xfId="16158" xr:uid="{00000000-0005-0000-0000-00002D720000}"/>
    <cellStyle name="Procent 4 5 4 4 3" xfId="11751" xr:uid="{00000000-0005-0000-0000-00002E720000}"/>
    <cellStyle name="Procent 4 5 4 5" xfId="5132" xr:uid="{00000000-0005-0000-0000-00002F720000}"/>
    <cellStyle name="Procent 4 5 4 5 2" xfId="13953" xr:uid="{00000000-0005-0000-0000-000030720000}"/>
    <cellStyle name="Procent 4 5 4 6" xfId="9546" xr:uid="{00000000-0005-0000-0000-000031720000}"/>
    <cellStyle name="Procent 4 5 5" xfId="2052" xr:uid="{00000000-0005-0000-0000-000032720000}"/>
    <cellStyle name="Procent 4 5 5 2" xfId="4036" xr:uid="{00000000-0005-0000-0000-000033720000}"/>
    <cellStyle name="Procent 4 5 5 2 2" xfId="8443" xr:uid="{00000000-0005-0000-0000-000034720000}"/>
    <cellStyle name="Procent 4 5 5 2 2 2" xfId="17264" xr:uid="{00000000-0005-0000-0000-000035720000}"/>
    <cellStyle name="Procent 4 5 5 2 3" xfId="12857" xr:uid="{00000000-0005-0000-0000-000036720000}"/>
    <cellStyle name="Procent 4 5 5 3" xfId="6238" xr:uid="{00000000-0005-0000-0000-000037720000}"/>
    <cellStyle name="Procent 4 5 5 3 2" xfId="15059" xr:uid="{00000000-0005-0000-0000-000038720000}"/>
    <cellStyle name="Procent 4 5 5 4" xfId="10652" xr:uid="{00000000-0005-0000-0000-000039720000}"/>
    <cellStyle name="Procent 4 5 6" xfId="1397" xr:uid="{00000000-0005-0000-0000-00003A720000}"/>
    <cellStyle name="Procent 4 5 6 2" xfId="3311" xr:uid="{00000000-0005-0000-0000-00003B720000}"/>
    <cellStyle name="Procent 4 5 6 2 2" xfId="7705" xr:uid="{00000000-0005-0000-0000-00003C720000}"/>
    <cellStyle name="Procent 4 5 6 2 2 2" xfId="16526" xr:uid="{00000000-0005-0000-0000-00003D720000}"/>
    <cellStyle name="Procent 4 5 6 2 3" xfId="12119" xr:uid="{00000000-0005-0000-0000-00003E720000}"/>
    <cellStyle name="Procent 4 5 6 3" xfId="5500" xr:uid="{00000000-0005-0000-0000-00003F720000}"/>
    <cellStyle name="Procent 4 5 6 3 2" xfId="14321" xr:uid="{00000000-0005-0000-0000-000040720000}"/>
    <cellStyle name="Procent 4 5 6 4" xfId="9914" xr:uid="{00000000-0005-0000-0000-000041720000}"/>
    <cellStyle name="Procent 4 5 7" xfId="2576" xr:uid="{00000000-0005-0000-0000-000042720000}"/>
    <cellStyle name="Procent 4 5 7 2" xfId="6968" xr:uid="{00000000-0005-0000-0000-000043720000}"/>
    <cellStyle name="Procent 4 5 7 2 2" xfId="15789" xr:uid="{00000000-0005-0000-0000-000044720000}"/>
    <cellStyle name="Procent 4 5 7 3" xfId="11382" xr:uid="{00000000-0005-0000-0000-000045720000}"/>
    <cellStyle name="Procent 4 5 8" xfId="4763" xr:uid="{00000000-0005-0000-0000-000046720000}"/>
    <cellStyle name="Procent 4 5 8 2" xfId="13584" xr:uid="{00000000-0005-0000-0000-000047720000}"/>
    <cellStyle name="Procent 4 5 9" xfId="9177" xr:uid="{00000000-0005-0000-0000-000048720000}"/>
    <cellStyle name="Procent 4 6" xfId="1284" xr:uid="{00000000-0005-0000-0000-000049720000}"/>
    <cellStyle name="Procent 4 6 2" xfId="1272" xr:uid="{00000000-0005-0000-0000-00004A720000}"/>
    <cellStyle name="Procent 4 6 2 2" xfId="1320" xr:uid="{00000000-0005-0000-0000-00004B720000}"/>
    <cellStyle name="Procent 4 6 2 2 2" xfId="2463" xr:uid="{00000000-0005-0000-0000-00004C720000}"/>
    <cellStyle name="Procent 4 6 2 2 2 2" xfId="4619" xr:uid="{00000000-0005-0000-0000-00004D720000}"/>
    <cellStyle name="Procent 4 6 2 2 2 2 2" xfId="9042" xr:uid="{00000000-0005-0000-0000-00004E720000}"/>
    <cellStyle name="Procent 4 6 2 2 2 2 2 2" xfId="17863" xr:uid="{00000000-0005-0000-0000-00004F720000}"/>
    <cellStyle name="Procent 4 6 2 2 2 2 3" xfId="13456" xr:uid="{00000000-0005-0000-0000-000050720000}"/>
    <cellStyle name="Procent 4 6 2 2 2 3" xfId="6837" xr:uid="{00000000-0005-0000-0000-000051720000}"/>
    <cellStyle name="Procent 4 6 2 2 2 3 2" xfId="15658" xr:uid="{00000000-0005-0000-0000-000052720000}"/>
    <cellStyle name="Procent 4 6 2 2 2 4" xfId="11251" xr:uid="{00000000-0005-0000-0000-000053720000}"/>
    <cellStyle name="Procent 4 6 2 2 3" xfId="1953" xr:uid="{00000000-0005-0000-0000-000054720000}"/>
    <cellStyle name="Procent 4 6 2 2 3 2" xfId="3910" xr:uid="{00000000-0005-0000-0000-000055720000}"/>
    <cellStyle name="Procent 4 6 2 2 3 2 2" xfId="8304" xr:uid="{00000000-0005-0000-0000-000056720000}"/>
    <cellStyle name="Procent 4 6 2 2 3 2 2 2" xfId="17125" xr:uid="{00000000-0005-0000-0000-000057720000}"/>
    <cellStyle name="Procent 4 6 2 2 3 2 3" xfId="12718" xr:uid="{00000000-0005-0000-0000-000058720000}"/>
    <cellStyle name="Procent 4 6 2 2 3 3" xfId="6099" xr:uid="{00000000-0005-0000-0000-000059720000}"/>
    <cellStyle name="Procent 4 6 2 2 3 3 2" xfId="14920" xr:uid="{00000000-0005-0000-0000-00005A720000}"/>
    <cellStyle name="Procent 4 6 2 2 3 4" xfId="10513" xr:uid="{00000000-0005-0000-0000-00005B720000}"/>
    <cellStyle name="Procent 4 6 2 2 4" xfId="3173" xr:uid="{00000000-0005-0000-0000-00005C720000}"/>
    <cellStyle name="Procent 4 6 2 2 4 2" xfId="7567" xr:uid="{00000000-0005-0000-0000-00005D720000}"/>
    <cellStyle name="Procent 4 6 2 2 4 2 2" xfId="16388" xr:uid="{00000000-0005-0000-0000-00005E720000}"/>
    <cellStyle name="Procent 4 6 2 2 4 3" xfId="11981" xr:uid="{00000000-0005-0000-0000-00005F720000}"/>
    <cellStyle name="Procent 4 6 2 2 5" xfId="5362" xr:uid="{00000000-0005-0000-0000-000060720000}"/>
    <cellStyle name="Procent 4 6 2 2 5 2" xfId="14183" xr:uid="{00000000-0005-0000-0000-000061720000}"/>
    <cellStyle name="Procent 4 6 2 2 6" xfId="9776" xr:uid="{00000000-0005-0000-0000-000062720000}"/>
    <cellStyle name="Procent 4 6 2 3" xfId="2202" xr:uid="{00000000-0005-0000-0000-000063720000}"/>
    <cellStyle name="Procent 4 6 2 3 2" xfId="4264" xr:uid="{00000000-0005-0000-0000-000064720000}"/>
    <cellStyle name="Procent 4 6 2 3 2 2" xfId="8673" xr:uid="{00000000-0005-0000-0000-000065720000}"/>
    <cellStyle name="Procent 4 6 2 3 2 2 2" xfId="17494" xr:uid="{00000000-0005-0000-0000-000066720000}"/>
    <cellStyle name="Procent 4 6 2 3 2 3" xfId="13087" xr:uid="{00000000-0005-0000-0000-000067720000}"/>
    <cellStyle name="Procent 4 6 2 3 3" xfId="6468" xr:uid="{00000000-0005-0000-0000-000068720000}"/>
    <cellStyle name="Procent 4 6 2 3 3 2" xfId="15289" xr:uid="{00000000-0005-0000-0000-000069720000}"/>
    <cellStyle name="Procent 4 6 2 3 4" xfId="10882" xr:uid="{00000000-0005-0000-0000-00006A720000}"/>
    <cellStyle name="Procent 4 6 2 4" xfId="1598" xr:uid="{00000000-0005-0000-0000-00006B720000}"/>
    <cellStyle name="Procent 4 6 2 4 2" xfId="3541" xr:uid="{00000000-0005-0000-0000-00006C720000}"/>
    <cellStyle name="Procent 4 6 2 4 2 2" xfId="7935" xr:uid="{00000000-0005-0000-0000-00006D720000}"/>
    <cellStyle name="Procent 4 6 2 4 2 2 2" xfId="16756" xr:uid="{00000000-0005-0000-0000-00006E720000}"/>
    <cellStyle name="Procent 4 6 2 4 2 3" xfId="12349" xr:uid="{00000000-0005-0000-0000-00006F720000}"/>
    <cellStyle name="Procent 4 6 2 4 3" xfId="5730" xr:uid="{00000000-0005-0000-0000-000070720000}"/>
    <cellStyle name="Procent 4 6 2 4 3 2" xfId="14551" xr:uid="{00000000-0005-0000-0000-000071720000}"/>
    <cellStyle name="Procent 4 6 2 4 4" xfId="10144" xr:uid="{00000000-0005-0000-0000-000072720000}"/>
    <cellStyle name="Procent 4 6 2 5" xfId="2804" xr:uid="{00000000-0005-0000-0000-000073720000}"/>
    <cellStyle name="Procent 4 6 2 5 2" xfId="7198" xr:uid="{00000000-0005-0000-0000-000074720000}"/>
    <cellStyle name="Procent 4 6 2 5 2 2" xfId="16019" xr:uid="{00000000-0005-0000-0000-000075720000}"/>
    <cellStyle name="Procent 4 6 2 5 3" xfId="11612" xr:uid="{00000000-0005-0000-0000-000076720000}"/>
    <cellStyle name="Procent 4 6 2 6" xfId="4993" xr:uid="{00000000-0005-0000-0000-000077720000}"/>
    <cellStyle name="Procent 4 6 2 6 2" xfId="13814" xr:uid="{00000000-0005-0000-0000-000078720000}"/>
    <cellStyle name="Procent 4 6 2 7" xfId="9407" xr:uid="{00000000-0005-0000-0000-000079720000}"/>
    <cellStyle name="Procent 4 6 3" xfId="1129" xr:uid="{00000000-0005-0000-0000-00007A720000}"/>
    <cellStyle name="Procent 4 6 3 2" xfId="2332" xr:uid="{00000000-0005-0000-0000-00007B720000}"/>
    <cellStyle name="Procent 4 6 3 2 2" xfId="4435" xr:uid="{00000000-0005-0000-0000-00007C720000}"/>
    <cellStyle name="Procent 4 6 3 2 2 2" xfId="8857" xr:uid="{00000000-0005-0000-0000-00007D720000}"/>
    <cellStyle name="Procent 4 6 3 2 2 2 2" xfId="17678" xr:uid="{00000000-0005-0000-0000-00007E720000}"/>
    <cellStyle name="Procent 4 6 3 2 2 3" xfId="13271" xr:uid="{00000000-0005-0000-0000-00007F720000}"/>
    <cellStyle name="Procent 4 6 3 2 3" xfId="6652" xr:uid="{00000000-0005-0000-0000-000080720000}"/>
    <cellStyle name="Procent 4 6 3 2 3 2" xfId="15473" xr:uid="{00000000-0005-0000-0000-000081720000}"/>
    <cellStyle name="Procent 4 6 3 2 4" xfId="11066" xr:uid="{00000000-0005-0000-0000-000082720000}"/>
    <cellStyle name="Procent 4 6 3 3" xfId="1769" xr:uid="{00000000-0005-0000-0000-000083720000}"/>
    <cellStyle name="Procent 4 6 3 3 2" xfId="3725" xr:uid="{00000000-0005-0000-0000-000084720000}"/>
    <cellStyle name="Procent 4 6 3 3 2 2" xfId="8119" xr:uid="{00000000-0005-0000-0000-000085720000}"/>
    <cellStyle name="Procent 4 6 3 3 2 2 2" xfId="16940" xr:uid="{00000000-0005-0000-0000-000086720000}"/>
    <cellStyle name="Procent 4 6 3 3 2 3" xfId="12533" xr:uid="{00000000-0005-0000-0000-000087720000}"/>
    <cellStyle name="Procent 4 6 3 3 3" xfId="5914" xr:uid="{00000000-0005-0000-0000-000088720000}"/>
    <cellStyle name="Procent 4 6 3 3 3 2" xfId="14735" xr:uid="{00000000-0005-0000-0000-000089720000}"/>
    <cellStyle name="Procent 4 6 3 3 4" xfId="10328" xr:uid="{00000000-0005-0000-0000-00008A720000}"/>
    <cellStyle name="Procent 4 6 3 4" xfId="2988" xr:uid="{00000000-0005-0000-0000-00008B720000}"/>
    <cellStyle name="Procent 4 6 3 4 2" xfId="7382" xr:uid="{00000000-0005-0000-0000-00008C720000}"/>
    <cellStyle name="Procent 4 6 3 4 2 2" xfId="16203" xr:uid="{00000000-0005-0000-0000-00008D720000}"/>
    <cellStyle name="Procent 4 6 3 4 3" xfId="11796" xr:uid="{00000000-0005-0000-0000-00008E720000}"/>
    <cellStyle name="Procent 4 6 3 5" xfId="5177" xr:uid="{00000000-0005-0000-0000-00008F720000}"/>
    <cellStyle name="Procent 4 6 3 5 2" xfId="13998" xr:uid="{00000000-0005-0000-0000-000090720000}"/>
    <cellStyle name="Procent 4 6 3 6" xfId="9591" xr:uid="{00000000-0005-0000-0000-000091720000}"/>
    <cellStyle name="Procent 4 6 4" xfId="2071" xr:uid="{00000000-0005-0000-0000-000092720000}"/>
    <cellStyle name="Procent 4 6 4 2" xfId="4080" xr:uid="{00000000-0005-0000-0000-000093720000}"/>
    <cellStyle name="Procent 4 6 4 2 2" xfId="8488" xr:uid="{00000000-0005-0000-0000-000094720000}"/>
    <cellStyle name="Procent 4 6 4 2 2 2" xfId="17309" xr:uid="{00000000-0005-0000-0000-000095720000}"/>
    <cellStyle name="Procent 4 6 4 2 3" xfId="12902" xr:uid="{00000000-0005-0000-0000-000096720000}"/>
    <cellStyle name="Procent 4 6 4 3" xfId="6283" xr:uid="{00000000-0005-0000-0000-000097720000}"/>
    <cellStyle name="Procent 4 6 4 3 2" xfId="15104" xr:uid="{00000000-0005-0000-0000-000098720000}"/>
    <cellStyle name="Procent 4 6 4 4" xfId="10697" xr:uid="{00000000-0005-0000-0000-000099720000}"/>
    <cellStyle name="Procent 4 6 5" xfId="1429" xr:uid="{00000000-0005-0000-0000-00009A720000}"/>
    <cellStyle name="Procent 4 6 5 2" xfId="3356" xr:uid="{00000000-0005-0000-0000-00009B720000}"/>
    <cellStyle name="Procent 4 6 5 2 2" xfId="7750" xr:uid="{00000000-0005-0000-0000-00009C720000}"/>
    <cellStyle name="Procent 4 6 5 2 2 2" xfId="16571" xr:uid="{00000000-0005-0000-0000-00009D720000}"/>
    <cellStyle name="Procent 4 6 5 2 3" xfId="12164" xr:uid="{00000000-0005-0000-0000-00009E720000}"/>
    <cellStyle name="Procent 4 6 5 3" xfId="5545" xr:uid="{00000000-0005-0000-0000-00009F720000}"/>
    <cellStyle name="Procent 4 6 5 3 2" xfId="14366" xr:uid="{00000000-0005-0000-0000-0000A0720000}"/>
    <cellStyle name="Procent 4 6 5 4" xfId="9959" xr:uid="{00000000-0005-0000-0000-0000A1720000}"/>
    <cellStyle name="Procent 4 6 6" xfId="2620" xr:uid="{00000000-0005-0000-0000-0000A2720000}"/>
    <cellStyle name="Procent 4 6 6 2" xfId="7013" xr:uid="{00000000-0005-0000-0000-0000A3720000}"/>
    <cellStyle name="Procent 4 6 6 2 2" xfId="15834" xr:uid="{00000000-0005-0000-0000-0000A4720000}"/>
    <cellStyle name="Procent 4 6 6 3" xfId="11427" xr:uid="{00000000-0005-0000-0000-0000A5720000}"/>
    <cellStyle name="Procent 4 6 7" xfId="4808" xr:uid="{00000000-0005-0000-0000-0000A6720000}"/>
    <cellStyle name="Procent 4 6 7 2" xfId="13629" xr:uid="{00000000-0005-0000-0000-0000A7720000}"/>
    <cellStyle name="Procent 4 6 8" xfId="9222" xr:uid="{00000000-0005-0000-0000-0000A8720000}"/>
    <cellStyle name="Procent 4 7" xfId="1280" xr:uid="{00000000-0005-0000-0000-0000A9720000}"/>
    <cellStyle name="Procent 4 7 2" xfId="1166" xr:uid="{00000000-0005-0000-0000-0000AA720000}"/>
    <cellStyle name="Procent 4 7 2 2" xfId="2397" xr:uid="{00000000-0005-0000-0000-0000AB720000}"/>
    <cellStyle name="Procent 4 7 2 2 2" xfId="4527" xr:uid="{00000000-0005-0000-0000-0000AC720000}"/>
    <cellStyle name="Procent 4 7 2 2 2 2" xfId="8949" xr:uid="{00000000-0005-0000-0000-0000AD720000}"/>
    <cellStyle name="Procent 4 7 2 2 2 2 2" xfId="17770" xr:uid="{00000000-0005-0000-0000-0000AE720000}"/>
    <cellStyle name="Procent 4 7 2 2 2 3" xfId="13363" xr:uid="{00000000-0005-0000-0000-0000AF720000}"/>
    <cellStyle name="Procent 4 7 2 2 3" xfId="6744" xr:uid="{00000000-0005-0000-0000-0000B0720000}"/>
    <cellStyle name="Procent 4 7 2 2 3 2" xfId="15565" xr:uid="{00000000-0005-0000-0000-0000B1720000}"/>
    <cellStyle name="Procent 4 7 2 2 4" xfId="11158" xr:uid="{00000000-0005-0000-0000-0000B2720000}"/>
    <cellStyle name="Procent 4 7 2 3" xfId="1861" xr:uid="{00000000-0005-0000-0000-0000B3720000}"/>
    <cellStyle name="Procent 4 7 2 3 2" xfId="3817" xr:uid="{00000000-0005-0000-0000-0000B4720000}"/>
    <cellStyle name="Procent 4 7 2 3 2 2" xfId="8211" xr:uid="{00000000-0005-0000-0000-0000B5720000}"/>
    <cellStyle name="Procent 4 7 2 3 2 2 2" xfId="17032" xr:uid="{00000000-0005-0000-0000-0000B6720000}"/>
    <cellStyle name="Procent 4 7 2 3 2 3" xfId="12625" xr:uid="{00000000-0005-0000-0000-0000B7720000}"/>
    <cellStyle name="Procent 4 7 2 3 3" xfId="6006" xr:uid="{00000000-0005-0000-0000-0000B8720000}"/>
    <cellStyle name="Procent 4 7 2 3 3 2" xfId="14827" xr:uid="{00000000-0005-0000-0000-0000B9720000}"/>
    <cellStyle name="Procent 4 7 2 3 4" xfId="10420" xr:uid="{00000000-0005-0000-0000-0000BA720000}"/>
    <cellStyle name="Procent 4 7 2 4" xfId="3080" xr:uid="{00000000-0005-0000-0000-0000BB720000}"/>
    <cellStyle name="Procent 4 7 2 4 2" xfId="7474" xr:uid="{00000000-0005-0000-0000-0000BC720000}"/>
    <cellStyle name="Procent 4 7 2 4 2 2" xfId="16295" xr:uid="{00000000-0005-0000-0000-0000BD720000}"/>
    <cellStyle name="Procent 4 7 2 4 3" xfId="11888" xr:uid="{00000000-0005-0000-0000-0000BE720000}"/>
    <cellStyle name="Procent 4 7 2 5" xfId="5269" xr:uid="{00000000-0005-0000-0000-0000BF720000}"/>
    <cellStyle name="Procent 4 7 2 5 2" xfId="14090" xr:uid="{00000000-0005-0000-0000-0000C0720000}"/>
    <cellStyle name="Procent 4 7 2 6" xfId="9683" xr:uid="{00000000-0005-0000-0000-0000C1720000}"/>
    <cellStyle name="Procent 4 7 3" xfId="2136" xr:uid="{00000000-0005-0000-0000-0000C2720000}"/>
    <cellStyle name="Procent 4 7 3 2" xfId="4172" xr:uid="{00000000-0005-0000-0000-0000C3720000}"/>
    <cellStyle name="Procent 4 7 3 2 2" xfId="8580" xr:uid="{00000000-0005-0000-0000-0000C4720000}"/>
    <cellStyle name="Procent 4 7 3 2 2 2" xfId="17401" xr:uid="{00000000-0005-0000-0000-0000C5720000}"/>
    <cellStyle name="Procent 4 7 3 2 3" xfId="12994" xr:uid="{00000000-0005-0000-0000-0000C6720000}"/>
    <cellStyle name="Procent 4 7 3 3" xfId="6375" xr:uid="{00000000-0005-0000-0000-0000C7720000}"/>
    <cellStyle name="Procent 4 7 3 3 2" xfId="15196" xr:uid="{00000000-0005-0000-0000-0000C8720000}"/>
    <cellStyle name="Procent 4 7 3 4" xfId="10789" xr:uid="{00000000-0005-0000-0000-0000C9720000}"/>
    <cellStyle name="Procent 4 7 4" xfId="1506" xr:uid="{00000000-0005-0000-0000-0000CA720000}"/>
    <cellStyle name="Procent 4 7 4 2" xfId="3448" xr:uid="{00000000-0005-0000-0000-0000CB720000}"/>
    <cellStyle name="Procent 4 7 4 2 2" xfId="7842" xr:uid="{00000000-0005-0000-0000-0000CC720000}"/>
    <cellStyle name="Procent 4 7 4 2 2 2" xfId="16663" xr:uid="{00000000-0005-0000-0000-0000CD720000}"/>
    <cellStyle name="Procent 4 7 4 2 3" xfId="12256" xr:uid="{00000000-0005-0000-0000-0000CE720000}"/>
    <cellStyle name="Procent 4 7 4 3" xfId="5637" xr:uid="{00000000-0005-0000-0000-0000CF720000}"/>
    <cellStyle name="Procent 4 7 4 3 2" xfId="14458" xr:uid="{00000000-0005-0000-0000-0000D0720000}"/>
    <cellStyle name="Procent 4 7 4 4" xfId="10051" xr:uid="{00000000-0005-0000-0000-0000D1720000}"/>
    <cellStyle name="Procent 4 7 5" xfId="2712" xr:uid="{00000000-0005-0000-0000-0000D2720000}"/>
    <cellStyle name="Procent 4 7 5 2" xfId="7105" xr:uid="{00000000-0005-0000-0000-0000D3720000}"/>
    <cellStyle name="Procent 4 7 5 2 2" xfId="15926" xr:uid="{00000000-0005-0000-0000-0000D4720000}"/>
    <cellStyle name="Procent 4 7 5 3" xfId="11519" xr:uid="{00000000-0005-0000-0000-0000D5720000}"/>
    <cellStyle name="Procent 4 7 6" xfId="4900" xr:uid="{00000000-0005-0000-0000-0000D6720000}"/>
    <cellStyle name="Procent 4 7 6 2" xfId="13721" xr:uid="{00000000-0005-0000-0000-0000D7720000}"/>
    <cellStyle name="Procent 4 7 7" xfId="9314" xr:uid="{00000000-0005-0000-0000-0000D8720000}"/>
    <cellStyle name="Procent 4 8" xfId="1177" xr:uid="{00000000-0005-0000-0000-0000D9720000}"/>
    <cellStyle name="Procent 4 8 2" xfId="2265" xr:uid="{00000000-0005-0000-0000-0000DA720000}"/>
    <cellStyle name="Procent 4 8 2 2" xfId="4343" xr:uid="{00000000-0005-0000-0000-0000DB720000}"/>
    <cellStyle name="Procent 4 8 2 2 2" xfId="8764" xr:uid="{00000000-0005-0000-0000-0000DC720000}"/>
    <cellStyle name="Procent 4 8 2 2 2 2" xfId="17585" xr:uid="{00000000-0005-0000-0000-0000DD720000}"/>
    <cellStyle name="Procent 4 8 2 2 3" xfId="13178" xr:uid="{00000000-0005-0000-0000-0000DE720000}"/>
    <cellStyle name="Procent 4 8 2 3" xfId="6559" xr:uid="{00000000-0005-0000-0000-0000DF720000}"/>
    <cellStyle name="Procent 4 8 2 3 2" xfId="15380" xr:uid="{00000000-0005-0000-0000-0000E0720000}"/>
    <cellStyle name="Procent 4 8 2 4" xfId="10973" xr:uid="{00000000-0005-0000-0000-0000E1720000}"/>
    <cellStyle name="Procent 4 8 3" xfId="1677" xr:uid="{00000000-0005-0000-0000-0000E2720000}"/>
    <cellStyle name="Procent 4 8 3 2" xfId="3632" xr:uid="{00000000-0005-0000-0000-0000E3720000}"/>
    <cellStyle name="Procent 4 8 3 2 2" xfId="8026" xr:uid="{00000000-0005-0000-0000-0000E4720000}"/>
    <cellStyle name="Procent 4 8 3 2 2 2" xfId="16847" xr:uid="{00000000-0005-0000-0000-0000E5720000}"/>
    <cellStyle name="Procent 4 8 3 2 3" xfId="12440" xr:uid="{00000000-0005-0000-0000-0000E6720000}"/>
    <cellStyle name="Procent 4 8 3 3" xfId="5821" xr:uid="{00000000-0005-0000-0000-0000E7720000}"/>
    <cellStyle name="Procent 4 8 3 3 2" xfId="14642" xr:uid="{00000000-0005-0000-0000-0000E8720000}"/>
    <cellStyle name="Procent 4 8 3 4" xfId="10235" xr:uid="{00000000-0005-0000-0000-0000E9720000}"/>
    <cellStyle name="Procent 4 8 4" xfId="2895" xr:uid="{00000000-0005-0000-0000-0000EA720000}"/>
    <cellStyle name="Procent 4 8 4 2" xfId="7289" xr:uid="{00000000-0005-0000-0000-0000EB720000}"/>
    <cellStyle name="Procent 4 8 4 2 2" xfId="16110" xr:uid="{00000000-0005-0000-0000-0000EC720000}"/>
    <cellStyle name="Procent 4 8 4 3" xfId="11703" xr:uid="{00000000-0005-0000-0000-0000ED720000}"/>
    <cellStyle name="Procent 4 8 5" xfId="5084" xr:uid="{00000000-0005-0000-0000-0000EE720000}"/>
    <cellStyle name="Procent 4 8 5 2" xfId="13905" xr:uid="{00000000-0005-0000-0000-0000EF720000}"/>
    <cellStyle name="Procent 4 8 6" xfId="9498" xr:uid="{00000000-0005-0000-0000-0000F0720000}"/>
    <cellStyle name="Procent 4 9" xfId="2031" xr:uid="{00000000-0005-0000-0000-0000F1720000}"/>
    <cellStyle name="Procent 4 9 2" xfId="3989" xr:uid="{00000000-0005-0000-0000-0000F2720000}"/>
    <cellStyle name="Procent 4 9 2 2" xfId="8395" xr:uid="{00000000-0005-0000-0000-0000F3720000}"/>
    <cellStyle name="Procent 4 9 2 2 2" xfId="17216" xr:uid="{00000000-0005-0000-0000-0000F4720000}"/>
    <cellStyle name="Procent 4 9 2 3" xfId="12809" xr:uid="{00000000-0005-0000-0000-0000F5720000}"/>
    <cellStyle name="Procent 4 9 3" xfId="6190" xr:uid="{00000000-0005-0000-0000-0000F6720000}"/>
    <cellStyle name="Procent 4 9 3 2" xfId="15011" xr:uid="{00000000-0005-0000-0000-0000F7720000}"/>
    <cellStyle name="Procent 4 9 4" xfId="10604" xr:uid="{00000000-0005-0000-0000-0000F8720000}"/>
    <cellStyle name="Procent 5" xfId="169" xr:uid="{00000000-0005-0000-0000-0000F9720000}"/>
    <cellStyle name="Procent 5 2" xfId="1136" xr:uid="{00000000-0005-0000-0000-0000FA720000}"/>
    <cellStyle name="Procent 5 2 2" xfId="18291" xr:uid="{00000000-0005-0000-0000-0000FB720000}"/>
    <cellStyle name="Procent 5 2 2 2" xfId="27486" xr:uid="{00000000-0005-0000-0000-0000FC720000}"/>
    <cellStyle name="Procent 5 2 3" xfId="27347" xr:uid="{00000000-0005-0000-0000-0000FD720000}"/>
    <cellStyle name="Procent 5 2 3 2" xfId="29402" xr:uid="{00000000-0005-0000-0000-0000FE720000}"/>
    <cellStyle name="Procent 5 2 4" xfId="27530" xr:uid="{00000000-0005-0000-0000-0000FF720000}"/>
    <cellStyle name="Procent 5 3" xfId="18290" xr:uid="{00000000-0005-0000-0000-000000730000}"/>
    <cellStyle name="Procent 6" xfId="269" xr:uid="{00000000-0005-0000-0000-000001730000}"/>
    <cellStyle name="Procent 6 2" xfId="1231" xr:uid="{00000000-0005-0000-0000-000002730000}"/>
    <cellStyle name="Procent 6 2 2" xfId="27319" xr:uid="{00000000-0005-0000-0000-000003730000}"/>
    <cellStyle name="Procent 6 2 2 2" xfId="29395" xr:uid="{00000000-0005-0000-0000-000004730000}"/>
    <cellStyle name="Procent 6 2 3" xfId="27527" xr:uid="{00000000-0005-0000-0000-000005730000}"/>
    <cellStyle name="Procent 6 3" xfId="18292" xr:uid="{00000000-0005-0000-0000-000006730000}"/>
    <cellStyle name="Procent 7" xfId="51" xr:uid="{00000000-0005-0000-0000-000007730000}"/>
    <cellStyle name="Procent 7 2" xfId="18325" xr:uid="{00000000-0005-0000-0000-000008730000}"/>
    <cellStyle name="Procent 7 3" xfId="27500" xr:uid="{00000000-0005-0000-0000-000009730000}"/>
    <cellStyle name="Procent 8" xfId="1126" xr:uid="{00000000-0005-0000-0000-00000A730000}"/>
    <cellStyle name="Procent 8 10" xfId="18479" xr:uid="{00000000-0005-0000-0000-00000B730000}"/>
    <cellStyle name="Procent 8 11" xfId="27351" xr:uid="{00000000-0005-0000-0000-00000C730000}"/>
    <cellStyle name="Procent 8 11 2" xfId="29405" xr:uid="{00000000-0005-0000-0000-00000D730000}"/>
    <cellStyle name="Procent 8 12" xfId="27533" xr:uid="{00000000-0005-0000-0000-00000E730000}"/>
    <cellStyle name="Procent 8 2" xfId="1093" xr:uid="{00000000-0005-0000-0000-00000F730000}"/>
    <cellStyle name="Procent 8 2 2" xfId="1082" xr:uid="{00000000-0005-0000-0000-000010730000}"/>
    <cellStyle name="Procent 8 2 2 2" xfId="1331" xr:uid="{00000000-0005-0000-0000-000011730000}"/>
    <cellStyle name="Procent 8 2 2 2 2" xfId="2479" xr:uid="{00000000-0005-0000-0000-000012730000}"/>
    <cellStyle name="Procent 8 2 2 2 2 2" xfId="4649" xr:uid="{00000000-0005-0000-0000-000013730000}"/>
    <cellStyle name="Procent 8 2 2 2 2 2 2" xfId="9072" xr:uid="{00000000-0005-0000-0000-000014730000}"/>
    <cellStyle name="Procent 8 2 2 2 2 2 2 2" xfId="17893" xr:uid="{00000000-0005-0000-0000-000015730000}"/>
    <cellStyle name="Procent 8 2 2 2 2 2 3" xfId="13486" xr:uid="{00000000-0005-0000-0000-000016730000}"/>
    <cellStyle name="Procent 8 2 2 2 2 3" xfId="6867" xr:uid="{00000000-0005-0000-0000-000017730000}"/>
    <cellStyle name="Procent 8 2 2 2 2 3 2" xfId="15688" xr:uid="{00000000-0005-0000-0000-000018730000}"/>
    <cellStyle name="Procent 8 2 2 2 2 4" xfId="11281" xr:uid="{00000000-0005-0000-0000-000019730000}"/>
    <cellStyle name="Procent 8 2 2 2 3" xfId="1983" xr:uid="{00000000-0005-0000-0000-00001A730000}"/>
    <cellStyle name="Procent 8 2 2 2 3 2" xfId="3940" xr:uid="{00000000-0005-0000-0000-00001B730000}"/>
    <cellStyle name="Procent 8 2 2 2 3 2 2" xfId="8334" xr:uid="{00000000-0005-0000-0000-00001C730000}"/>
    <cellStyle name="Procent 8 2 2 2 3 2 2 2" xfId="17155" xr:uid="{00000000-0005-0000-0000-00001D730000}"/>
    <cellStyle name="Procent 8 2 2 2 3 2 3" xfId="12748" xr:uid="{00000000-0005-0000-0000-00001E730000}"/>
    <cellStyle name="Procent 8 2 2 2 3 3" xfId="6129" xr:uid="{00000000-0005-0000-0000-00001F730000}"/>
    <cellStyle name="Procent 8 2 2 2 3 3 2" xfId="14950" xr:uid="{00000000-0005-0000-0000-000020730000}"/>
    <cellStyle name="Procent 8 2 2 2 3 4" xfId="10543" xr:uid="{00000000-0005-0000-0000-000021730000}"/>
    <cellStyle name="Procent 8 2 2 2 4" xfId="3203" xr:uid="{00000000-0005-0000-0000-000022730000}"/>
    <cellStyle name="Procent 8 2 2 2 4 2" xfId="7597" xr:uid="{00000000-0005-0000-0000-000023730000}"/>
    <cellStyle name="Procent 8 2 2 2 4 2 2" xfId="16418" xr:uid="{00000000-0005-0000-0000-000024730000}"/>
    <cellStyle name="Procent 8 2 2 2 4 3" xfId="12011" xr:uid="{00000000-0005-0000-0000-000025730000}"/>
    <cellStyle name="Procent 8 2 2 2 5" xfId="5392" xr:uid="{00000000-0005-0000-0000-000026730000}"/>
    <cellStyle name="Procent 8 2 2 2 5 2" xfId="14213" xr:uid="{00000000-0005-0000-0000-000027730000}"/>
    <cellStyle name="Procent 8 2 2 2 6" xfId="9806" xr:uid="{00000000-0005-0000-0000-000028730000}"/>
    <cellStyle name="Procent 8 2 2 3" xfId="2218" xr:uid="{00000000-0005-0000-0000-000029730000}"/>
    <cellStyle name="Procent 8 2 2 3 2" xfId="4294" xr:uid="{00000000-0005-0000-0000-00002A730000}"/>
    <cellStyle name="Procent 8 2 2 3 2 2" xfId="8703" xr:uid="{00000000-0005-0000-0000-00002B730000}"/>
    <cellStyle name="Procent 8 2 2 3 2 2 2" xfId="17524" xr:uid="{00000000-0005-0000-0000-00002C730000}"/>
    <cellStyle name="Procent 8 2 2 3 2 3" xfId="13117" xr:uid="{00000000-0005-0000-0000-00002D730000}"/>
    <cellStyle name="Procent 8 2 2 3 3" xfId="6498" xr:uid="{00000000-0005-0000-0000-00002E730000}"/>
    <cellStyle name="Procent 8 2 2 3 3 2" xfId="15319" xr:uid="{00000000-0005-0000-0000-00002F730000}"/>
    <cellStyle name="Procent 8 2 2 3 4" xfId="10912" xr:uid="{00000000-0005-0000-0000-000030730000}"/>
    <cellStyle name="Procent 8 2 2 4" xfId="1628" xr:uid="{00000000-0005-0000-0000-000031730000}"/>
    <cellStyle name="Procent 8 2 2 4 2" xfId="3571" xr:uid="{00000000-0005-0000-0000-000032730000}"/>
    <cellStyle name="Procent 8 2 2 4 2 2" xfId="7965" xr:uid="{00000000-0005-0000-0000-000033730000}"/>
    <cellStyle name="Procent 8 2 2 4 2 2 2" xfId="16786" xr:uid="{00000000-0005-0000-0000-000034730000}"/>
    <cellStyle name="Procent 8 2 2 4 2 3" xfId="12379" xr:uid="{00000000-0005-0000-0000-000035730000}"/>
    <cellStyle name="Procent 8 2 2 4 3" xfId="5760" xr:uid="{00000000-0005-0000-0000-000036730000}"/>
    <cellStyle name="Procent 8 2 2 4 3 2" xfId="14581" xr:uid="{00000000-0005-0000-0000-000037730000}"/>
    <cellStyle name="Procent 8 2 2 4 4" xfId="10174" xr:uid="{00000000-0005-0000-0000-000038730000}"/>
    <cellStyle name="Procent 8 2 2 5" xfId="2834" xr:uid="{00000000-0005-0000-0000-000039730000}"/>
    <cellStyle name="Procent 8 2 2 5 2" xfId="7228" xr:uid="{00000000-0005-0000-0000-00003A730000}"/>
    <cellStyle name="Procent 8 2 2 5 2 2" xfId="16049" xr:uid="{00000000-0005-0000-0000-00003B730000}"/>
    <cellStyle name="Procent 8 2 2 5 3" xfId="11642" xr:uid="{00000000-0005-0000-0000-00003C730000}"/>
    <cellStyle name="Procent 8 2 2 6" xfId="5023" xr:uid="{00000000-0005-0000-0000-00003D730000}"/>
    <cellStyle name="Procent 8 2 2 6 2" xfId="13844" xr:uid="{00000000-0005-0000-0000-00003E730000}"/>
    <cellStyle name="Procent 8 2 2 7" xfId="9437" xr:uid="{00000000-0005-0000-0000-00003F730000}"/>
    <cellStyle name="Procent 8 2 3" xfId="1198" xr:uid="{00000000-0005-0000-0000-000040730000}"/>
    <cellStyle name="Procent 8 2 3 2" xfId="2348" xr:uid="{00000000-0005-0000-0000-000041730000}"/>
    <cellStyle name="Procent 8 2 3 2 2" xfId="4465" xr:uid="{00000000-0005-0000-0000-000042730000}"/>
    <cellStyle name="Procent 8 2 3 2 2 2" xfId="8887" xr:uid="{00000000-0005-0000-0000-000043730000}"/>
    <cellStyle name="Procent 8 2 3 2 2 2 2" xfId="17708" xr:uid="{00000000-0005-0000-0000-000044730000}"/>
    <cellStyle name="Procent 8 2 3 2 2 3" xfId="13301" xr:uid="{00000000-0005-0000-0000-000045730000}"/>
    <cellStyle name="Procent 8 2 3 2 3" xfId="6682" xr:uid="{00000000-0005-0000-0000-000046730000}"/>
    <cellStyle name="Procent 8 2 3 2 3 2" xfId="15503" xr:uid="{00000000-0005-0000-0000-000047730000}"/>
    <cellStyle name="Procent 8 2 3 2 4" xfId="11096" xr:uid="{00000000-0005-0000-0000-000048730000}"/>
    <cellStyle name="Procent 8 2 3 3" xfId="1799" xr:uid="{00000000-0005-0000-0000-000049730000}"/>
    <cellStyle name="Procent 8 2 3 3 2" xfId="3755" xr:uid="{00000000-0005-0000-0000-00004A730000}"/>
    <cellStyle name="Procent 8 2 3 3 2 2" xfId="8149" xr:uid="{00000000-0005-0000-0000-00004B730000}"/>
    <cellStyle name="Procent 8 2 3 3 2 2 2" xfId="16970" xr:uid="{00000000-0005-0000-0000-00004C730000}"/>
    <cellStyle name="Procent 8 2 3 3 2 3" xfId="12563" xr:uid="{00000000-0005-0000-0000-00004D730000}"/>
    <cellStyle name="Procent 8 2 3 3 3" xfId="5944" xr:uid="{00000000-0005-0000-0000-00004E730000}"/>
    <cellStyle name="Procent 8 2 3 3 3 2" xfId="14765" xr:uid="{00000000-0005-0000-0000-00004F730000}"/>
    <cellStyle name="Procent 8 2 3 3 4" xfId="10358" xr:uid="{00000000-0005-0000-0000-000050730000}"/>
    <cellStyle name="Procent 8 2 3 4" xfId="3018" xr:uid="{00000000-0005-0000-0000-000051730000}"/>
    <cellStyle name="Procent 8 2 3 4 2" xfId="7412" xr:uid="{00000000-0005-0000-0000-000052730000}"/>
    <cellStyle name="Procent 8 2 3 4 2 2" xfId="16233" xr:uid="{00000000-0005-0000-0000-000053730000}"/>
    <cellStyle name="Procent 8 2 3 4 3" xfId="11826" xr:uid="{00000000-0005-0000-0000-000054730000}"/>
    <cellStyle name="Procent 8 2 3 5" xfId="5207" xr:uid="{00000000-0005-0000-0000-000055730000}"/>
    <cellStyle name="Procent 8 2 3 5 2" xfId="14028" xr:uid="{00000000-0005-0000-0000-000056730000}"/>
    <cellStyle name="Procent 8 2 3 6" xfId="9621" xr:uid="{00000000-0005-0000-0000-000057730000}"/>
    <cellStyle name="Procent 8 2 4" xfId="2087" xr:uid="{00000000-0005-0000-0000-000058730000}"/>
    <cellStyle name="Procent 8 2 4 2" xfId="4110" xr:uid="{00000000-0005-0000-0000-000059730000}"/>
    <cellStyle name="Procent 8 2 4 2 2" xfId="8518" xr:uid="{00000000-0005-0000-0000-00005A730000}"/>
    <cellStyle name="Procent 8 2 4 2 2 2" xfId="17339" xr:uid="{00000000-0005-0000-0000-00005B730000}"/>
    <cellStyle name="Procent 8 2 4 2 3" xfId="12932" xr:uid="{00000000-0005-0000-0000-00005C730000}"/>
    <cellStyle name="Procent 8 2 4 3" xfId="6313" xr:uid="{00000000-0005-0000-0000-00005D730000}"/>
    <cellStyle name="Procent 8 2 4 3 2" xfId="15134" xr:uid="{00000000-0005-0000-0000-00005E730000}"/>
    <cellStyle name="Procent 8 2 4 4" xfId="10727" xr:uid="{00000000-0005-0000-0000-00005F730000}"/>
    <cellStyle name="Procent 8 2 5" xfId="1445" xr:uid="{00000000-0005-0000-0000-000060730000}"/>
    <cellStyle name="Procent 8 2 5 2" xfId="3386" xr:uid="{00000000-0005-0000-0000-000061730000}"/>
    <cellStyle name="Procent 8 2 5 2 2" xfId="7780" xr:uid="{00000000-0005-0000-0000-000062730000}"/>
    <cellStyle name="Procent 8 2 5 2 2 2" xfId="16601" xr:uid="{00000000-0005-0000-0000-000063730000}"/>
    <cellStyle name="Procent 8 2 5 2 3" xfId="12194" xr:uid="{00000000-0005-0000-0000-000064730000}"/>
    <cellStyle name="Procent 8 2 5 3" xfId="5575" xr:uid="{00000000-0005-0000-0000-000065730000}"/>
    <cellStyle name="Procent 8 2 5 3 2" xfId="14396" xr:uid="{00000000-0005-0000-0000-000066730000}"/>
    <cellStyle name="Procent 8 2 5 4" xfId="9989" xr:uid="{00000000-0005-0000-0000-000067730000}"/>
    <cellStyle name="Procent 8 2 6" xfId="2650" xr:uid="{00000000-0005-0000-0000-000068730000}"/>
    <cellStyle name="Procent 8 2 6 2" xfId="7043" xr:uid="{00000000-0005-0000-0000-000069730000}"/>
    <cellStyle name="Procent 8 2 6 2 2" xfId="15864" xr:uid="{00000000-0005-0000-0000-00006A730000}"/>
    <cellStyle name="Procent 8 2 6 3" xfId="11457" xr:uid="{00000000-0005-0000-0000-00006B730000}"/>
    <cellStyle name="Procent 8 2 7" xfId="4838" xr:uid="{00000000-0005-0000-0000-00006C730000}"/>
    <cellStyle name="Procent 8 2 7 2" xfId="13659" xr:uid="{00000000-0005-0000-0000-00006D730000}"/>
    <cellStyle name="Procent 8 2 8" xfId="9252" xr:uid="{00000000-0005-0000-0000-00006E730000}"/>
    <cellStyle name="Procent 8 3" xfId="1133" xr:uid="{00000000-0005-0000-0000-00006F730000}"/>
    <cellStyle name="Procent 8 3 2" xfId="1149" xr:uid="{00000000-0005-0000-0000-000070730000}"/>
    <cellStyle name="Procent 8 3 2 2" xfId="2414" xr:uid="{00000000-0005-0000-0000-000071730000}"/>
    <cellStyle name="Procent 8 3 2 2 2" xfId="4558" xr:uid="{00000000-0005-0000-0000-000072730000}"/>
    <cellStyle name="Procent 8 3 2 2 2 2" xfId="8980" xr:uid="{00000000-0005-0000-0000-000073730000}"/>
    <cellStyle name="Procent 8 3 2 2 2 2 2" xfId="17801" xr:uid="{00000000-0005-0000-0000-000074730000}"/>
    <cellStyle name="Procent 8 3 2 2 2 3" xfId="13394" xr:uid="{00000000-0005-0000-0000-000075730000}"/>
    <cellStyle name="Procent 8 3 2 2 3" xfId="6775" xr:uid="{00000000-0005-0000-0000-000076730000}"/>
    <cellStyle name="Procent 8 3 2 2 3 2" xfId="15596" xr:uid="{00000000-0005-0000-0000-000077730000}"/>
    <cellStyle name="Procent 8 3 2 2 4" xfId="11189" xr:uid="{00000000-0005-0000-0000-000078730000}"/>
    <cellStyle name="Procent 8 3 2 3" xfId="1892" xr:uid="{00000000-0005-0000-0000-000079730000}"/>
    <cellStyle name="Procent 8 3 2 3 2" xfId="3848" xr:uid="{00000000-0005-0000-0000-00007A730000}"/>
    <cellStyle name="Procent 8 3 2 3 2 2" xfId="8242" xr:uid="{00000000-0005-0000-0000-00007B730000}"/>
    <cellStyle name="Procent 8 3 2 3 2 2 2" xfId="17063" xr:uid="{00000000-0005-0000-0000-00007C730000}"/>
    <cellStyle name="Procent 8 3 2 3 2 3" xfId="12656" xr:uid="{00000000-0005-0000-0000-00007D730000}"/>
    <cellStyle name="Procent 8 3 2 3 3" xfId="6037" xr:uid="{00000000-0005-0000-0000-00007E730000}"/>
    <cellStyle name="Procent 8 3 2 3 3 2" xfId="14858" xr:uid="{00000000-0005-0000-0000-00007F730000}"/>
    <cellStyle name="Procent 8 3 2 3 4" xfId="10451" xr:uid="{00000000-0005-0000-0000-000080730000}"/>
    <cellStyle name="Procent 8 3 2 4" xfId="3111" xr:uid="{00000000-0005-0000-0000-000081730000}"/>
    <cellStyle name="Procent 8 3 2 4 2" xfId="7505" xr:uid="{00000000-0005-0000-0000-000082730000}"/>
    <cellStyle name="Procent 8 3 2 4 2 2" xfId="16326" xr:uid="{00000000-0005-0000-0000-000083730000}"/>
    <cellStyle name="Procent 8 3 2 4 3" xfId="11919" xr:uid="{00000000-0005-0000-0000-000084730000}"/>
    <cellStyle name="Procent 8 3 2 5" xfId="5300" xr:uid="{00000000-0005-0000-0000-000085730000}"/>
    <cellStyle name="Procent 8 3 2 5 2" xfId="14121" xr:uid="{00000000-0005-0000-0000-000086730000}"/>
    <cellStyle name="Procent 8 3 2 6" xfId="9714" xr:uid="{00000000-0005-0000-0000-000087730000}"/>
    <cellStyle name="Procent 8 3 3" xfId="2153" xr:uid="{00000000-0005-0000-0000-000088730000}"/>
    <cellStyle name="Procent 8 3 3 2" xfId="4203" xr:uid="{00000000-0005-0000-0000-000089730000}"/>
    <cellStyle name="Procent 8 3 3 2 2" xfId="8611" xr:uid="{00000000-0005-0000-0000-00008A730000}"/>
    <cellStyle name="Procent 8 3 3 2 2 2" xfId="17432" xr:uid="{00000000-0005-0000-0000-00008B730000}"/>
    <cellStyle name="Procent 8 3 3 2 3" xfId="13025" xr:uid="{00000000-0005-0000-0000-00008C730000}"/>
    <cellStyle name="Procent 8 3 3 3" xfId="6406" xr:uid="{00000000-0005-0000-0000-00008D730000}"/>
    <cellStyle name="Procent 8 3 3 3 2" xfId="15227" xr:uid="{00000000-0005-0000-0000-00008E730000}"/>
    <cellStyle name="Procent 8 3 3 4" xfId="10820" xr:uid="{00000000-0005-0000-0000-00008F730000}"/>
    <cellStyle name="Procent 8 3 4" xfId="1537" xr:uid="{00000000-0005-0000-0000-000090730000}"/>
    <cellStyle name="Procent 8 3 4 2" xfId="3479" xr:uid="{00000000-0005-0000-0000-000091730000}"/>
    <cellStyle name="Procent 8 3 4 2 2" xfId="7873" xr:uid="{00000000-0005-0000-0000-000092730000}"/>
    <cellStyle name="Procent 8 3 4 2 2 2" xfId="16694" xr:uid="{00000000-0005-0000-0000-000093730000}"/>
    <cellStyle name="Procent 8 3 4 2 3" xfId="12287" xr:uid="{00000000-0005-0000-0000-000094730000}"/>
    <cellStyle name="Procent 8 3 4 3" xfId="5668" xr:uid="{00000000-0005-0000-0000-000095730000}"/>
    <cellStyle name="Procent 8 3 4 3 2" xfId="14489" xr:uid="{00000000-0005-0000-0000-000096730000}"/>
    <cellStyle name="Procent 8 3 4 4" xfId="10082" xr:uid="{00000000-0005-0000-0000-000097730000}"/>
    <cellStyle name="Procent 8 3 5" xfId="2743" xr:uid="{00000000-0005-0000-0000-000098730000}"/>
    <cellStyle name="Procent 8 3 5 2" xfId="7136" xr:uid="{00000000-0005-0000-0000-000099730000}"/>
    <cellStyle name="Procent 8 3 5 2 2" xfId="15957" xr:uid="{00000000-0005-0000-0000-00009A730000}"/>
    <cellStyle name="Procent 8 3 5 3" xfId="11550" xr:uid="{00000000-0005-0000-0000-00009B730000}"/>
    <cellStyle name="Procent 8 3 6" xfId="4931" xr:uid="{00000000-0005-0000-0000-00009C730000}"/>
    <cellStyle name="Procent 8 3 6 2" xfId="13752" xr:uid="{00000000-0005-0000-0000-00009D730000}"/>
    <cellStyle name="Procent 8 3 7" xfId="9345" xr:uid="{00000000-0005-0000-0000-00009E730000}"/>
    <cellStyle name="Procent 8 4" xfId="1178" xr:uid="{00000000-0005-0000-0000-00009F730000}"/>
    <cellStyle name="Procent 8 4 2" xfId="2283" xr:uid="{00000000-0005-0000-0000-0000A0730000}"/>
    <cellStyle name="Procent 8 4 2 2" xfId="4374" xr:uid="{00000000-0005-0000-0000-0000A1730000}"/>
    <cellStyle name="Procent 8 4 2 2 2" xfId="8795" xr:uid="{00000000-0005-0000-0000-0000A2730000}"/>
    <cellStyle name="Procent 8 4 2 2 2 2" xfId="17616" xr:uid="{00000000-0005-0000-0000-0000A3730000}"/>
    <cellStyle name="Procent 8 4 2 2 3" xfId="13209" xr:uid="{00000000-0005-0000-0000-0000A4730000}"/>
    <cellStyle name="Procent 8 4 2 3" xfId="6590" xr:uid="{00000000-0005-0000-0000-0000A5730000}"/>
    <cellStyle name="Procent 8 4 2 3 2" xfId="15411" xr:uid="{00000000-0005-0000-0000-0000A6730000}"/>
    <cellStyle name="Procent 8 4 2 4" xfId="11004" xr:uid="{00000000-0005-0000-0000-0000A7730000}"/>
    <cellStyle name="Procent 8 4 3" xfId="1708" xr:uid="{00000000-0005-0000-0000-0000A8730000}"/>
    <cellStyle name="Procent 8 4 3 2" xfId="3663" xr:uid="{00000000-0005-0000-0000-0000A9730000}"/>
    <cellStyle name="Procent 8 4 3 2 2" xfId="8057" xr:uid="{00000000-0005-0000-0000-0000AA730000}"/>
    <cellStyle name="Procent 8 4 3 2 2 2" xfId="16878" xr:uid="{00000000-0005-0000-0000-0000AB730000}"/>
    <cellStyle name="Procent 8 4 3 2 3" xfId="12471" xr:uid="{00000000-0005-0000-0000-0000AC730000}"/>
    <cellStyle name="Procent 8 4 3 3" xfId="5852" xr:uid="{00000000-0005-0000-0000-0000AD730000}"/>
    <cellStyle name="Procent 8 4 3 3 2" xfId="14673" xr:uid="{00000000-0005-0000-0000-0000AE730000}"/>
    <cellStyle name="Procent 8 4 3 4" xfId="10266" xr:uid="{00000000-0005-0000-0000-0000AF730000}"/>
    <cellStyle name="Procent 8 4 4" xfId="2926" xr:uid="{00000000-0005-0000-0000-0000B0730000}"/>
    <cellStyle name="Procent 8 4 4 2" xfId="7320" xr:uid="{00000000-0005-0000-0000-0000B1730000}"/>
    <cellStyle name="Procent 8 4 4 2 2" xfId="16141" xr:uid="{00000000-0005-0000-0000-0000B2730000}"/>
    <cellStyle name="Procent 8 4 4 3" xfId="11734" xr:uid="{00000000-0005-0000-0000-0000B3730000}"/>
    <cellStyle name="Procent 8 4 5" xfId="5115" xr:uid="{00000000-0005-0000-0000-0000B4730000}"/>
    <cellStyle name="Procent 8 4 5 2" xfId="13936" xr:uid="{00000000-0005-0000-0000-0000B5730000}"/>
    <cellStyle name="Procent 8 4 6" xfId="9529" xr:uid="{00000000-0005-0000-0000-0000B6730000}"/>
    <cellStyle name="Procent 8 5" xfId="2048" xr:uid="{00000000-0005-0000-0000-0000B7730000}"/>
    <cellStyle name="Procent 8 5 2" xfId="4019" xr:uid="{00000000-0005-0000-0000-0000B8730000}"/>
    <cellStyle name="Procent 8 5 2 2" xfId="8426" xr:uid="{00000000-0005-0000-0000-0000B9730000}"/>
    <cellStyle name="Procent 8 5 2 2 2" xfId="17247" xr:uid="{00000000-0005-0000-0000-0000BA730000}"/>
    <cellStyle name="Procent 8 5 2 3" xfId="12840" xr:uid="{00000000-0005-0000-0000-0000BB730000}"/>
    <cellStyle name="Procent 8 5 3" xfId="6221" xr:uid="{00000000-0005-0000-0000-0000BC730000}"/>
    <cellStyle name="Procent 8 5 3 2" xfId="15042" xr:uid="{00000000-0005-0000-0000-0000BD730000}"/>
    <cellStyle name="Procent 8 5 4" xfId="10635" xr:uid="{00000000-0005-0000-0000-0000BE730000}"/>
    <cellStyle name="Procent 8 6" xfId="1380" xr:uid="{00000000-0005-0000-0000-0000BF730000}"/>
    <cellStyle name="Procent 8 6 2" xfId="3294" xr:uid="{00000000-0005-0000-0000-0000C0730000}"/>
    <cellStyle name="Procent 8 6 2 2" xfId="7688" xr:uid="{00000000-0005-0000-0000-0000C1730000}"/>
    <cellStyle name="Procent 8 6 2 2 2" xfId="16509" xr:uid="{00000000-0005-0000-0000-0000C2730000}"/>
    <cellStyle name="Procent 8 6 2 3" xfId="12102" xr:uid="{00000000-0005-0000-0000-0000C3730000}"/>
    <cellStyle name="Procent 8 6 3" xfId="5483" xr:uid="{00000000-0005-0000-0000-0000C4730000}"/>
    <cellStyle name="Procent 8 6 3 2" xfId="14304" xr:uid="{00000000-0005-0000-0000-0000C5730000}"/>
    <cellStyle name="Procent 8 6 4" xfId="9897" xr:uid="{00000000-0005-0000-0000-0000C6730000}"/>
    <cellStyle name="Procent 8 7" xfId="2559" xr:uid="{00000000-0005-0000-0000-0000C7730000}"/>
    <cellStyle name="Procent 8 7 2" xfId="6951" xr:uid="{00000000-0005-0000-0000-0000C8730000}"/>
    <cellStyle name="Procent 8 7 2 2" xfId="15772" xr:uid="{00000000-0005-0000-0000-0000C9730000}"/>
    <cellStyle name="Procent 8 7 3" xfId="11365" xr:uid="{00000000-0005-0000-0000-0000CA730000}"/>
    <cellStyle name="Procent 8 8" xfId="4746" xr:uid="{00000000-0005-0000-0000-0000CB730000}"/>
    <cellStyle name="Procent 8 8 2" xfId="13567" xr:uid="{00000000-0005-0000-0000-0000CC730000}"/>
    <cellStyle name="Procent 8 9" xfId="9160" xr:uid="{00000000-0005-0000-0000-0000CD730000}"/>
    <cellStyle name="Procent 9" xfId="1306" xr:uid="{00000000-0005-0000-0000-0000CE730000}"/>
    <cellStyle name="Procent 9 2" xfId="18894" xr:uid="{00000000-0005-0000-0000-0000CF730000}"/>
    <cellStyle name="Procent 9 2 2" xfId="27488" xr:uid="{00000000-0005-0000-0000-0000D0730000}"/>
    <cellStyle name="Procent 9 3" xfId="27352" xr:uid="{00000000-0005-0000-0000-0000D1730000}"/>
    <cellStyle name="Sammenkædet celle" xfId="14" builtinId="24" customBuiltin="1"/>
    <cellStyle name="Sammenkædet celle 2" xfId="556" xr:uid="{00000000-0005-0000-0000-0000D3730000}"/>
    <cellStyle name="Sammenkædet celle 2 2" xfId="18019" xr:uid="{00000000-0005-0000-0000-0000D4730000}"/>
    <cellStyle name="Sammenkædet celle 2 2 2" xfId="27272" xr:uid="{00000000-0005-0000-0000-0000D5730000}"/>
    <cellStyle name="Sammenkædet celle 2 3" xfId="27394" xr:uid="{00000000-0005-0000-0000-0000D6730000}"/>
    <cellStyle name="Sammenkædet celle 3" xfId="555" xr:uid="{00000000-0005-0000-0000-0000D7730000}"/>
    <cellStyle name="Sammenkædet celle 4" xfId="27228" xr:uid="{00000000-0005-0000-0000-0000D8730000}"/>
    <cellStyle name="SAPBEXaggData" xfId="27398" xr:uid="{00000000-0005-0000-0000-0000D9730000}"/>
    <cellStyle name="SAPBEXaggDataEmph" xfId="27399" xr:uid="{00000000-0005-0000-0000-0000DA730000}"/>
    <cellStyle name="SAPBEXaggItem" xfId="27400" xr:uid="{00000000-0005-0000-0000-0000DB730000}"/>
    <cellStyle name="SAPBEXaggItemX" xfId="27401" xr:uid="{00000000-0005-0000-0000-0000DC730000}"/>
    <cellStyle name="SAPBEXchaText" xfId="27402" xr:uid="{00000000-0005-0000-0000-0000DD730000}"/>
    <cellStyle name="SAPBEXexcBad7" xfId="27403" xr:uid="{00000000-0005-0000-0000-0000DE730000}"/>
    <cellStyle name="SAPBEXexcBad8" xfId="27404" xr:uid="{00000000-0005-0000-0000-0000DF730000}"/>
    <cellStyle name="SAPBEXexcBad9" xfId="27405" xr:uid="{00000000-0005-0000-0000-0000E0730000}"/>
    <cellStyle name="SAPBEXexcCritical4" xfId="27406" xr:uid="{00000000-0005-0000-0000-0000E1730000}"/>
    <cellStyle name="SAPBEXexcCritical5" xfId="27407" xr:uid="{00000000-0005-0000-0000-0000E2730000}"/>
    <cellStyle name="SAPBEXexcCritical6" xfId="27408" xr:uid="{00000000-0005-0000-0000-0000E3730000}"/>
    <cellStyle name="SAPBEXexcGood1" xfId="27409" xr:uid="{00000000-0005-0000-0000-0000E4730000}"/>
    <cellStyle name="SAPBEXexcGood2" xfId="27410" xr:uid="{00000000-0005-0000-0000-0000E5730000}"/>
    <cellStyle name="SAPBEXexcGood3" xfId="27411" xr:uid="{00000000-0005-0000-0000-0000E6730000}"/>
    <cellStyle name="SAPBEXfilterDrill" xfId="27412" xr:uid="{00000000-0005-0000-0000-0000E7730000}"/>
    <cellStyle name="SAPBEXfilterItem" xfId="27413" xr:uid="{00000000-0005-0000-0000-0000E8730000}"/>
    <cellStyle name="SAPBEXfilterText" xfId="27414" xr:uid="{00000000-0005-0000-0000-0000E9730000}"/>
    <cellStyle name="SAPBEXformats" xfId="27415" xr:uid="{00000000-0005-0000-0000-0000EA730000}"/>
    <cellStyle name="SAPBEXheaderItem" xfId="27416" xr:uid="{00000000-0005-0000-0000-0000EB730000}"/>
    <cellStyle name="SAPBEXheaderText" xfId="27417" xr:uid="{00000000-0005-0000-0000-0000EC730000}"/>
    <cellStyle name="SAPBEXHLevel0" xfId="27418" xr:uid="{00000000-0005-0000-0000-0000ED730000}"/>
    <cellStyle name="SAPBEXHLevel0X" xfId="27419" xr:uid="{00000000-0005-0000-0000-0000EE730000}"/>
    <cellStyle name="SAPBEXHLevel1" xfId="27420" xr:uid="{00000000-0005-0000-0000-0000EF730000}"/>
    <cellStyle name="SAPBEXHLevel1X" xfId="27421" xr:uid="{00000000-0005-0000-0000-0000F0730000}"/>
    <cellStyle name="SAPBEXHLevel2" xfId="27422" xr:uid="{00000000-0005-0000-0000-0000F1730000}"/>
    <cellStyle name="SAPBEXHLevel2X" xfId="27423" xr:uid="{00000000-0005-0000-0000-0000F2730000}"/>
    <cellStyle name="SAPBEXHLevel3" xfId="27424" xr:uid="{00000000-0005-0000-0000-0000F3730000}"/>
    <cellStyle name="SAPBEXHLevel3X" xfId="27425" xr:uid="{00000000-0005-0000-0000-0000F4730000}"/>
    <cellStyle name="SAPBEXinputData" xfId="27426" xr:uid="{00000000-0005-0000-0000-0000F5730000}"/>
    <cellStyle name="SAPBEXItemHeader" xfId="27427" xr:uid="{00000000-0005-0000-0000-0000F6730000}"/>
    <cellStyle name="SAPBEXresData" xfId="27428" xr:uid="{00000000-0005-0000-0000-0000F7730000}"/>
    <cellStyle name="SAPBEXresDataEmph" xfId="27429" xr:uid="{00000000-0005-0000-0000-0000F8730000}"/>
    <cellStyle name="SAPBEXresDataEmph 2" xfId="27456" xr:uid="{00000000-0005-0000-0000-0000F9730000}"/>
    <cellStyle name="SAPBEXresItem" xfId="27430" xr:uid="{00000000-0005-0000-0000-0000FA730000}"/>
    <cellStyle name="SAPBEXresItemX" xfId="27431" xr:uid="{00000000-0005-0000-0000-0000FB730000}"/>
    <cellStyle name="SAPBEXstdData" xfId="27357" xr:uid="{00000000-0005-0000-0000-0000FC730000}"/>
    <cellStyle name="SAPBEXstdDataEmph" xfId="27432" xr:uid="{00000000-0005-0000-0000-0000FD730000}"/>
    <cellStyle name="SAPBEXstdItem" xfId="27356" xr:uid="{00000000-0005-0000-0000-0000FE730000}"/>
    <cellStyle name="SAPBEXstdItemX" xfId="27433" xr:uid="{00000000-0005-0000-0000-0000FF730000}"/>
    <cellStyle name="SAPBEXtitle" xfId="27434" xr:uid="{00000000-0005-0000-0000-000000740000}"/>
    <cellStyle name="SAPBEXunassignedItem" xfId="27435" xr:uid="{00000000-0005-0000-0000-000001740000}"/>
    <cellStyle name="SAPBEXunassignedItem 2" xfId="27457" xr:uid="{00000000-0005-0000-0000-000002740000}"/>
    <cellStyle name="SAPBEXundefined" xfId="27436" xr:uid="{00000000-0005-0000-0000-000003740000}"/>
    <cellStyle name="Sheet Title" xfId="27437" xr:uid="{00000000-0005-0000-0000-000004740000}"/>
    <cellStyle name="Titel" xfId="3" builtinId="15" customBuiltin="1"/>
    <cellStyle name="Titel 2" xfId="558" xr:uid="{00000000-0005-0000-0000-000006740000}"/>
    <cellStyle name="Titel 3" xfId="557" xr:uid="{00000000-0005-0000-0000-000007740000}"/>
    <cellStyle name="Titel 3 2" xfId="18321" xr:uid="{00000000-0005-0000-0000-000008740000}"/>
    <cellStyle name="Titel 4" xfId="18480" xr:uid="{00000000-0005-0000-0000-000009740000}"/>
    <cellStyle name="Titel 4 2" xfId="27246" xr:uid="{00000000-0005-0000-0000-00000A740000}"/>
    <cellStyle name="Titel 4 3" xfId="27553" xr:uid="{00000000-0005-0000-0000-00000B740000}"/>
    <cellStyle name="Titel 4 4" xfId="27535" xr:uid="{00000000-0005-0000-0000-00000C740000}"/>
    <cellStyle name="Titel 5" xfId="29767" xr:uid="{00000000-0005-0000-0000-00000D740000}"/>
    <cellStyle name="Title" xfId="18056" xr:uid="{00000000-0005-0000-0000-00000E740000}"/>
    <cellStyle name="Total" xfId="19" builtinId="25" customBuiltin="1"/>
    <cellStyle name="Total 2" xfId="560" xr:uid="{00000000-0005-0000-0000-000010740000}"/>
    <cellStyle name="Total 2 2" xfId="18020" xr:uid="{00000000-0005-0000-0000-000011740000}"/>
    <cellStyle name="Total 2 2 2" xfId="27291" xr:uid="{00000000-0005-0000-0000-000012740000}"/>
    <cellStyle name="Total 2 3" xfId="18166" xr:uid="{00000000-0005-0000-0000-000013740000}"/>
    <cellStyle name="Total 2 4" xfId="27438" xr:uid="{00000000-0005-0000-0000-000014740000}"/>
    <cellStyle name="Total 3" xfId="559" xr:uid="{00000000-0005-0000-0000-000015740000}"/>
    <cellStyle name="Total 3 2" xfId="17958" xr:uid="{00000000-0005-0000-0000-000016740000}"/>
    <cellStyle name="Total 3 3" xfId="17954" xr:uid="{00000000-0005-0000-0000-000017740000}"/>
    <cellStyle name="Total 3 4" xfId="17947" xr:uid="{00000000-0005-0000-0000-000018740000}"/>
    <cellStyle name="Total 3 5" xfId="17945" xr:uid="{00000000-0005-0000-0000-000019740000}"/>
    <cellStyle name="Total 3 6" xfId="18198" xr:uid="{00000000-0005-0000-0000-00001A740000}"/>
    <cellStyle name="Total 3 7" xfId="28469" xr:uid="{00000000-0005-0000-0000-00001B740000}"/>
    <cellStyle name="Total 3 8" xfId="29391" xr:uid="{00000000-0005-0000-0000-00001C740000}"/>
    <cellStyle name="Total 4" xfId="18293" xr:uid="{00000000-0005-0000-0000-00001D740000}"/>
    <cellStyle name="Total 4 2" xfId="27239" xr:uid="{00000000-0005-0000-0000-00001E740000}"/>
    <cellStyle name="Total 4 3" xfId="27551" xr:uid="{00000000-0005-0000-0000-00001F740000}"/>
    <cellStyle name="Total 5" xfId="18322" xr:uid="{00000000-0005-0000-0000-000020740000}"/>
    <cellStyle name="Total 6" xfId="18481" xr:uid="{00000000-0005-0000-0000-000021740000}"/>
    <cellStyle name="Total 7" xfId="18057" xr:uid="{00000000-0005-0000-0000-000022740000}"/>
    <cellStyle name="Total 8" xfId="28468" xr:uid="{00000000-0005-0000-0000-000023740000}"/>
    <cellStyle name="Total 9" xfId="29390" xr:uid="{00000000-0005-0000-0000-000024740000}"/>
    <cellStyle name="Ugyldig" xfId="9" builtinId="27" customBuiltin="1"/>
    <cellStyle name="Ugyldig 2" xfId="562" xr:uid="{00000000-0005-0000-0000-000026740000}"/>
    <cellStyle name="Ugyldig 2 2" xfId="18021" xr:uid="{00000000-0005-0000-0000-000027740000}"/>
    <cellStyle name="Ugyldig 2 2 2" xfId="27283" xr:uid="{00000000-0005-0000-0000-000028740000}"/>
    <cellStyle name="Ugyldig 2 3" xfId="27382" xr:uid="{00000000-0005-0000-0000-000029740000}"/>
    <cellStyle name="Ugyldig 3" xfId="561" xr:uid="{00000000-0005-0000-0000-00002A740000}"/>
    <cellStyle name="Ugyldig 3 2" xfId="18323" xr:uid="{00000000-0005-0000-0000-00002B740000}"/>
    <cellStyle name="Ugyldig 4" xfId="18482" xr:uid="{00000000-0005-0000-0000-00002C740000}"/>
    <cellStyle name="Ugyldig 4 2" xfId="27285" xr:uid="{00000000-0005-0000-0000-00002D740000}"/>
    <cellStyle name="Valuta 10" xfId="4694" xr:uid="{00000000-0005-0000-0000-00002E740000}"/>
    <cellStyle name="Valuta 10 2" xfId="29516" xr:uid="{00000000-0005-0000-0000-00002F740000}"/>
    <cellStyle name="Valuta 11" xfId="4720" xr:uid="{00000000-0005-0000-0000-000030740000}"/>
    <cellStyle name="Valuta 11 2" xfId="29520" xr:uid="{00000000-0005-0000-0000-000031740000}"/>
    <cellStyle name="Valuta 12" xfId="9124" xr:uid="{00000000-0005-0000-0000-000032740000}"/>
    <cellStyle name="Valuta 12 2" xfId="29587" xr:uid="{00000000-0005-0000-0000-000033740000}"/>
    <cellStyle name="Valuta 2" xfId="99" xr:uid="{00000000-0005-0000-0000-000034740000}"/>
    <cellStyle name="Valuta 2 2" xfId="1277" xr:uid="{00000000-0005-0000-0000-000035740000}"/>
    <cellStyle name="Valuta 2 2 2" xfId="18496" xr:uid="{00000000-0005-0000-0000-000036740000}"/>
    <cellStyle name="Valuta 2 2 2 2" xfId="29750" xr:uid="{00000000-0005-0000-0000-000037740000}"/>
    <cellStyle name="Valuta 2 2 3" xfId="27355" xr:uid="{00000000-0005-0000-0000-000038740000}"/>
    <cellStyle name="Valuta 2 2 4" xfId="29458" xr:uid="{00000000-0005-0000-0000-000039740000}"/>
    <cellStyle name="Valuta 2 3" xfId="18022" xr:uid="{00000000-0005-0000-0000-00003A740000}"/>
    <cellStyle name="Valuta 2 4" xfId="29423" xr:uid="{00000000-0005-0000-0000-00003B740000}"/>
    <cellStyle name="Valuta 3" xfId="168" xr:uid="{00000000-0005-0000-0000-00003C740000}"/>
    <cellStyle name="Valuta 3 2" xfId="1155" xr:uid="{00000000-0005-0000-0000-00003D740000}"/>
    <cellStyle name="Valuta 3 2 2" xfId="29443" xr:uid="{00000000-0005-0000-0000-00003E740000}"/>
    <cellStyle name="Valuta 3 3" xfId="29425" xr:uid="{00000000-0005-0000-0000-00003F740000}"/>
    <cellStyle name="Valuta 4" xfId="50" xr:uid="{00000000-0005-0000-0000-000040740000}"/>
    <cellStyle name="Valuta 4 2" xfId="1105" xr:uid="{00000000-0005-0000-0000-000041740000}"/>
    <cellStyle name="Valuta 4 2 2" xfId="29437" xr:uid="{00000000-0005-0000-0000-000042740000}"/>
    <cellStyle name="Valuta 4 3" xfId="29417" xr:uid="{00000000-0005-0000-0000-000043740000}"/>
    <cellStyle name="Valuta 5" xfId="1131" xr:uid="{00000000-0005-0000-0000-000044740000}"/>
    <cellStyle name="Valuta 5 2" xfId="29442" xr:uid="{00000000-0005-0000-0000-000045740000}"/>
    <cellStyle name="Valuta 6" xfId="1086" xr:uid="{00000000-0005-0000-0000-000046740000}"/>
    <cellStyle name="Valuta 6 2" xfId="29435" xr:uid="{00000000-0005-0000-0000-000047740000}"/>
    <cellStyle name="Valuta 7" xfId="1317" xr:uid="{00000000-0005-0000-0000-000048740000}"/>
    <cellStyle name="Valuta 7 2" xfId="29462" xr:uid="{00000000-0005-0000-0000-000049740000}"/>
    <cellStyle name="Valuta 8" xfId="1312" xr:uid="{00000000-0005-0000-0000-00004A740000}"/>
    <cellStyle name="Valuta 8 2" xfId="29461" xr:uid="{00000000-0005-0000-0000-00004B740000}"/>
    <cellStyle name="Valuta 9" xfId="1081" xr:uid="{00000000-0005-0000-0000-00004C740000}"/>
    <cellStyle name="Valuta 9 2" xfId="29434" xr:uid="{00000000-0005-0000-0000-00004D740000}"/>
    <cellStyle name="Warning Text" xfId="18058" xr:uid="{00000000-0005-0000-0000-00004E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2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SF/De%20Tilrettede%20Driftsudgifter/Data%202018/Samlet%20-skabeloner/2018_Hovedstaden_Somatik%2020190129%202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ema 1"/>
      <sheetName val="Skema 2"/>
      <sheetName val="Skema 3"/>
      <sheetName val="Skema 4"/>
      <sheetName val="Skema 5"/>
      <sheetName val="Skema 6"/>
      <sheetName val="Skema 7"/>
      <sheetName val="Rapport"/>
      <sheetName val="Rapport SGH"/>
      <sheetName val="Afstemning af ikke fordelte"/>
      <sheetName val="Afstemning øvrige region"/>
      <sheetName val="leasing, indtægter,tol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M5">
            <v>7713.3090000000002</v>
          </cell>
        </row>
        <row r="6">
          <cell r="M6">
            <v>44.872</v>
          </cell>
        </row>
        <row r="7">
          <cell r="M7">
            <v>8868.7369999999992</v>
          </cell>
        </row>
        <row r="10">
          <cell r="M10">
            <v>44855.607649999998</v>
          </cell>
        </row>
        <row r="11">
          <cell r="M11">
            <v>34576.697</v>
          </cell>
        </row>
        <row r="13">
          <cell r="M13">
            <v>39862.639999999999</v>
          </cell>
        </row>
        <row r="14">
          <cell r="M14">
            <v>16339.224</v>
          </cell>
        </row>
        <row r="46">
          <cell r="G46">
            <v>2209030.1</v>
          </cell>
        </row>
        <row r="48">
          <cell r="G48">
            <v>128268.15</v>
          </cell>
        </row>
        <row r="50">
          <cell r="G50">
            <v>308491.25</v>
          </cell>
        </row>
        <row r="52">
          <cell r="G52">
            <v>3763499.05</v>
          </cell>
        </row>
        <row r="54">
          <cell r="G54">
            <v>1897882.86</v>
          </cell>
        </row>
        <row r="56">
          <cell r="G56">
            <v>3243566.44</v>
          </cell>
        </row>
        <row r="58">
          <cell r="G58">
            <v>6374005.4000000004</v>
          </cell>
        </row>
        <row r="66">
          <cell r="E66">
            <v>-169215</v>
          </cell>
          <cell r="G66">
            <v>-169215</v>
          </cell>
        </row>
        <row r="70">
          <cell r="G70">
            <v>-96313434</v>
          </cell>
        </row>
        <row r="71">
          <cell r="E71">
            <v>-622391</v>
          </cell>
        </row>
        <row r="74">
          <cell r="G74">
            <v>-5001179</v>
          </cell>
        </row>
        <row r="75">
          <cell r="E75">
            <v>-1855493</v>
          </cell>
        </row>
        <row r="79">
          <cell r="G79">
            <v>-244584792.08000001</v>
          </cell>
        </row>
        <row r="81">
          <cell r="E81">
            <v>-1927187</v>
          </cell>
        </row>
        <row r="86">
          <cell r="G86">
            <v>-47544380</v>
          </cell>
        </row>
        <row r="88">
          <cell r="E88">
            <v>-175286</v>
          </cell>
        </row>
        <row r="94">
          <cell r="G94">
            <v>-103963879</v>
          </cell>
        </row>
        <row r="116">
          <cell r="G116">
            <v>-2037064163.23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-12835961.48</v>
          </cell>
        </row>
        <row r="123">
          <cell r="F123">
            <v>-145310.70000000001</v>
          </cell>
        </row>
        <row r="124">
          <cell r="F124">
            <v>0</v>
          </cell>
        </row>
        <row r="125">
          <cell r="F125">
            <v>16595.68</v>
          </cell>
        </row>
        <row r="126">
          <cell r="F126">
            <v>54954.69</v>
          </cell>
        </row>
        <row r="138">
          <cell r="G138">
            <v>33937413.940000005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20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20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T1010"/>
  <sheetViews>
    <sheetView showGridLines="0" tabSelected="1" zoomScaleNormal="100" workbookViewId="0"/>
  </sheetViews>
  <sheetFormatPr defaultColWidth="0" defaultRowHeight="15" customHeight="1" x14ac:dyDescent="0.25"/>
  <cols>
    <col min="1" max="1" width="40" customWidth="1"/>
    <col min="2" max="2" width="38.5703125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7" width="15.7109375" customWidth="1"/>
    <col min="8" max="8" width="15.7109375" style="9" customWidth="1"/>
    <col min="9" max="9" width="50" bestFit="1" customWidth="1"/>
    <col min="10" max="20" width="0" style="10" hidden="1" customWidth="1"/>
    <col min="21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344" t="s">
        <v>799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C4" s="160"/>
      <c r="D4" s="160"/>
      <c r="E4" s="160"/>
      <c r="F4" s="160"/>
    </row>
    <row r="5" spans="1:15" ht="15" customHeight="1" x14ac:dyDescent="0.25">
      <c r="A5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20" t="s">
        <v>758</v>
      </c>
      <c r="H5" s="6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64"/>
      <c r="D6" s="164"/>
      <c r="E6" s="164"/>
      <c r="F6" s="164"/>
      <c r="G6" s="47"/>
      <c r="H6" s="50"/>
      <c r="I6" s="47"/>
    </row>
    <row r="7" spans="1:15" ht="15" customHeight="1" x14ac:dyDescent="0.25">
      <c r="A7" s="159" t="s">
        <v>24</v>
      </c>
      <c r="B7" s="167" t="s">
        <v>0</v>
      </c>
      <c r="C7" s="168">
        <v>5915219.9571099998</v>
      </c>
      <c r="D7" s="165">
        <v>5617806.8545600008</v>
      </c>
      <c r="E7" s="165">
        <v>5455014.1726299999</v>
      </c>
      <c r="F7" s="165">
        <v>5402879.7868100004</v>
      </c>
      <c r="G7" s="94">
        <f t="shared" ref="G7:G38" si="0">IF(ISERROR(C7- D7)=TRUE,"",C7 - D7)</f>
        <v>297413.10254999902</v>
      </c>
      <c r="H7" s="91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5,3%</v>
      </c>
      <c r="I7" s="106"/>
      <c r="J7" s="154"/>
      <c r="K7" s="154"/>
      <c r="L7" s="154"/>
      <c r="M7" s="154"/>
      <c r="N7" s="154"/>
      <c r="O7" s="154"/>
    </row>
    <row r="8" spans="1:15" ht="15" customHeight="1" x14ac:dyDescent="0.25">
      <c r="A8" s="159" t="s">
        <v>24</v>
      </c>
      <c r="B8" s="163" t="s">
        <v>1</v>
      </c>
      <c r="C8" s="169">
        <v>1460497.87662</v>
      </c>
      <c r="D8" s="166">
        <v>1419761.0848200002</v>
      </c>
      <c r="E8" s="166">
        <v>1316393.9438399998</v>
      </c>
      <c r="F8" s="166">
        <v>1270609.6127099998</v>
      </c>
      <c r="G8" s="96">
        <f t="shared" si="0"/>
        <v>40736.791799999774</v>
      </c>
      <c r="H8" s="92" t="str">
        <f t="shared" si="1"/>
        <v>2,9%</v>
      </c>
      <c r="I8" s="93"/>
      <c r="J8" s="154"/>
      <c r="K8" s="154"/>
      <c r="L8" s="154"/>
      <c r="M8" s="154"/>
      <c r="N8" s="154"/>
      <c r="O8" s="154"/>
    </row>
    <row r="9" spans="1:15" ht="15" customHeight="1" x14ac:dyDescent="0.25">
      <c r="A9" s="159" t="s">
        <v>24</v>
      </c>
      <c r="B9" s="167" t="s">
        <v>2</v>
      </c>
      <c r="C9" s="168">
        <v>2682750.0324400002</v>
      </c>
      <c r="D9" s="165">
        <v>2560448.4025300001</v>
      </c>
      <c r="E9" s="165">
        <v>2525640.2161900001</v>
      </c>
      <c r="F9" s="165">
        <v>2368229.0581</v>
      </c>
      <c r="G9" s="94">
        <f t="shared" si="0"/>
        <v>122301.62991000013</v>
      </c>
      <c r="H9" s="91" t="str">
        <f t="shared" si="1"/>
        <v>4,8%</v>
      </c>
      <c r="I9" s="106"/>
      <c r="J9" s="154"/>
      <c r="K9" s="154"/>
      <c r="L9" s="154"/>
      <c r="M9" s="154"/>
      <c r="N9" s="154"/>
      <c r="O9" s="154"/>
    </row>
    <row r="10" spans="1:15" ht="15" customHeight="1" x14ac:dyDescent="0.25">
      <c r="A10" s="159" t="s">
        <v>24</v>
      </c>
      <c r="B10" s="163" t="s">
        <v>3</v>
      </c>
      <c r="C10" s="169">
        <v>8394.8403600000001</v>
      </c>
      <c r="D10" s="166">
        <v>7523.6357400000006</v>
      </c>
      <c r="E10" s="166">
        <v>6182.7292600000001</v>
      </c>
      <c r="F10" s="166">
        <v>5001.02196</v>
      </c>
      <c r="G10" s="96">
        <f t="shared" si="0"/>
        <v>871.20461999999952</v>
      </c>
      <c r="H10" s="92" t="str">
        <f t="shared" si="1"/>
        <v>11,6%▲</v>
      </c>
      <c r="I10" s="93"/>
      <c r="J10" s="154"/>
      <c r="K10" s="154"/>
      <c r="L10" s="154"/>
      <c r="M10" s="154"/>
      <c r="N10" s="154"/>
      <c r="O10" s="154"/>
    </row>
    <row r="11" spans="1:15" ht="15" customHeight="1" x14ac:dyDescent="0.25">
      <c r="A11" s="159" t="s">
        <v>24</v>
      </c>
      <c r="B11" s="167" t="s">
        <v>4</v>
      </c>
      <c r="C11" s="168">
        <v>0</v>
      </c>
      <c r="D11" s="165">
        <v>0</v>
      </c>
      <c r="E11" s="165">
        <v>0</v>
      </c>
      <c r="F11" s="165">
        <v>0</v>
      </c>
      <c r="G11" s="94">
        <f t="shared" si="0"/>
        <v>0</v>
      </c>
      <c r="H11" s="91" t="str">
        <f t="shared" si="1"/>
        <v/>
      </c>
      <c r="I11" s="106"/>
      <c r="J11" s="154"/>
      <c r="K11" s="154"/>
      <c r="L11" s="154"/>
      <c r="M11" s="154"/>
      <c r="N11" s="154"/>
      <c r="O11" s="154"/>
    </row>
    <row r="12" spans="1:15" ht="15" customHeight="1" x14ac:dyDescent="0.25">
      <c r="A12" s="159" t="s">
        <v>24</v>
      </c>
      <c r="B12" s="163" t="s">
        <v>5</v>
      </c>
      <c r="C12" s="169">
        <v>-3596066.2018900001</v>
      </c>
      <c r="D12" s="166">
        <v>-3301148.7282899995</v>
      </c>
      <c r="E12" s="166">
        <v>-3244730.1424799995</v>
      </c>
      <c r="F12" s="166">
        <v>-2876039.5927200001</v>
      </c>
      <c r="G12" s="96">
        <f t="shared" si="0"/>
        <v>-294917.47360000061</v>
      </c>
      <c r="H12" s="92" t="str">
        <f t="shared" si="1"/>
        <v>8,9%▲</v>
      </c>
      <c r="I12" s="93"/>
      <c r="J12" s="154"/>
      <c r="K12" s="154"/>
      <c r="L12" s="154"/>
      <c r="M12" s="154"/>
      <c r="N12" s="154"/>
      <c r="O12" s="154"/>
    </row>
    <row r="13" spans="1:15" ht="15" customHeight="1" x14ac:dyDescent="0.25">
      <c r="A13" s="159" t="s">
        <v>24</v>
      </c>
      <c r="B13" s="167" t="s">
        <v>6</v>
      </c>
      <c r="C13" s="168"/>
      <c r="D13" s="165"/>
      <c r="E13" s="165"/>
      <c r="F13" s="165"/>
      <c r="G13" s="94">
        <f t="shared" si="0"/>
        <v>0</v>
      </c>
      <c r="H13" s="91" t="str">
        <f t="shared" si="1"/>
        <v/>
      </c>
      <c r="I13" s="106"/>
      <c r="J13" s="154"/>
      <c r="K13" s="154"/>
      <c r="L13" s="154"/>
      <c r="M13" s="154"/>
      <c r="N13" s="154"/>
      <c r="O13" s="154"/>
    </row>
    <row r="14" spans="1:15" ht="15" customHeight="1" x14ac:dyDescent="0.25">
      <c r="A14" s="159" t="s">
        <v>24</v>
      </c>
      <c r="B14" s="163" t="s">
        <v>7</v>
      </c>
      <c r="C14" s="169"/>
      <c r="D14" s="166"/>
      <c r="E14" s="166"/>
      <c r="F14" s="166"/>
      <c r="G14" s="96">
        <f t="shared" si="0"/>
        <v>0</v>
      </c>
      <c r="H14" s="92" t="str">
        <f t="shared" si="1"/>
        <v/>
      </c>
      <c r="I14" s="93"/>
      <c r="J14" s="154"/>
      <c r="K14" s="154"/>
      <c r="L14" s="154"/>
      <c r="M14" s="154"/>
      <c r="N14" s="154"/>
      <c r="O14" s="154"/>
    </row>
    <row r="15" spans="1:15" s="40" customFormat="1" ht="15" customHeight="1" x14ac:dyDescent="0.25">
      <c r="A15" s="104" t="s">
        <v>24</v>
      </c>
      <c r="B15" s="107" t="s">
        <v>8</v>
      </c>
      <c r="C15" s="63">
        <f>SUMIFS((C7:C14),(A7:A14),A15)</f>
        <v>6470796.5046400009</v>
      </c>
      <c r="D15" s="63">
        <f>SUMIFS((D7:D14),(A7:A14),A15)</f>
        <v>6304391.2493600026</v>
      </c>
      <c r="E15" s="63">
        <f>SUMIFS((E7:E14),(A7:A14),A15)</f>
        <v>6058500.9194400012</v>
      </c>
      <c r="F15" s="63">
        <f>SUMIFS((F7:F14),(A7:A14),A15)</f>
        <v>6170679.88686</v>
      </c>
      <c r="G15" s="97">
        <f t="shared" si="0"/>
        <v>166405.2552799983</v>
      </c>
      <c r="H15" s="85" t="str">
        <f t="shared" si="1"/>
        <v>2,6%</v>
      </c>
      <c r="I15" s="106"/>
      <c r="J15" s="39"/>
      <c r="K15" s="39"/>
      <c r="L15" s="39"/>
      <c r="M15" s="39"/>
      <c r="N15" s="39"/>
      <c r="O15" s="39"/>
    </row>
    <row r="16" spans="1:15" ht="15" customHeight="1" x14ac:dyDescent="0.25">
      <c r="A16" s="43" t="s">
        <v>47</v>
      </c>
      <c r="B16" s="164"/>
      <c r="C16" s="98"/>
      <c r="D16" s="98"/>
      <c r="E16" s="98"/>
      <c r="F16" s="98"/>
      <c r="G16" s="96">
        <f t="shared" si="0"/>
        <v>0</v>
      </c>
      <c r="H16" s="92" t="str">
        <f t="shared" si="1"/>
        <v/>
      </c>
      <c r="I16" s="93"/>
    </row>
    <row r="17" spans="1:15" ht="15" customHeight="1" x14ac:dyDescent="0.25">
      <c r="A17" s="159" t="s">
        <v>47</v>
      </c>
      <c r="B17" s="167" t="s">
        <v>0</v>
      </c>
      <c r="C17" s="168">
        <v>2040472.7620399999</v>
      </c>
      <c r="D17" s="165">
        <v>1935000.1887300001</v>
      </c>
      <c r="E17" s="165">
        <v>1905029.56653</v>
      </c>
      <c r="F17" s="165">
        <v>1874728.1501500001</v>
      </c>
      <c r="G17" s="94">
        <f t="shared" si="0"/>
        <v>105472.57330999989</v>
      </c>
      <c r="H17" s="91" t="str">
        <f t="shared" si="1"/>
        <v>5,5%</v>
      </c>
      <c r="I17" s="106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47</v>
      </c>
      <c r="B18" s="163" t="s">
        <v>1</v>
      </c>
      <c r="C18" s="169">
        <v>291879.06389999995</v>
      </c>
      <c r="D18" s="166">
        <v>258888.65414</v>
      </c>
      <c r="E18" s="166">
        <v>268945.73379000003</v>
      </c>
      <c r="F18" s="166">
        <v>290728.16112</v>
      </c>
      <c r="G18" s="96">
        <f t="shared" si="0"/>
        <v>32990.409759999951</v>
      </c>
      <c r="H18" s="92" t="str">
        <f t="shared" si="1"/>
        <v>12,7%▲</v>
      </c>
      <c r="I18" s="93"/>
      <c r="J18" s="154"/>
      <c r="K18" s="154"/>
      <c r="L18" s="154"/>
      <c r="M18" s="154"/>
      <c r="N18" s="154"/>
      <c r="O18" s="154"/>
    </row>
    <row r="19" spans="1:15" ht="15" customHeight="1" x14ac:dyDescent="0.25">
      <c r="A19" s="159" t="s">
        <v>47</v>
      </c>
      <c r="B19" s="167" t="s">
        <v>2</v>
      </c>
      <c r="C19" s="168">
        <v>314193.56621000002</v>
      </c>
      <c r="D19" s="165">
        <v>221548.83792999998</v>
      </c>
      <c r="E19" s="165">
        <v>232342.16402</v>
      </c>
      <c r="F19" s="165">
        <v>221996.92099000001</v>
      </c>
      <c r="G19" s="94">
        <f t="shared" si="0"/>
        <v>92644.728280000039</v>
      </c>
      <c r="H19" s="91" t="str">
        <f t="shared" si="1"/>
        <v>41,8%▲</v>
      </c>
      <c r="I19" s="106"/>
      <c r="J19" s="154"/>
      <c r="K19" s="154"/>
      <c r="L19" s="154"/>
      <c r="M19" s="154"/>
      <c r="N19" s="154"/>
      <c r="O19" s="154"/>
    </row>
    <row r="20" spans="1:15" ht="15" customHeight="1" x14ac:dyDescent="0.25">
      <c r="A20" s="159" t="s">
        <v>47</v>
      </c>
      <c r="B20" s="163" t="s">
        <v>3</v>
      </c>
      <c r="C20" s="169">
        <v>1712.94298</v>
      </c>
      <c r="D20" s="166">
        <v>2361.45021</v>
      </c>
      <c r="E20" s="166">
        <v>2556.6722400000003</v>
      </c>
      <c r="F20" s="166">
        <v>2302.4447</v>
      </c>
      <c r="G20" s="96">
        <f t="shared" si="0"/>
        <v>-648.50722999999994</v>
      </c>
      <c r="H20" s="92" t="str">
        <f t="shared" si="1"/>
        <v>-27,5%▼</v>
      </c>
      <c r="I20" s="93"/>
      <c r="J20" s="154"/>
      <c r="K20" s="154"/>
      <c r="L20" s="154"/>
      <c r="M20" s="154"/>
      <c r="N20" s="154"/>
      <c r="O20" s="154"/>
    </row>
    <row r="21" spans="1:15" ht="15" customHeight="1" x14ac:dyDescent="0.25">
      <c r="A21" s="159" t="s">
        <v>47</v>
      </c>
      <c r="B21" s="167" t="s">
        <v>4</v>
      </c>
      <c r="C21" s="168">
        <v>0</v>
      </c>
      <c r="D21" s="165">
        <v>0</v>
      </c>
      <c r="E21" s="165">
        <v>0</v>
      </c>
      <c r="F21" s="165">
        <v>0</v>
      </c>
      <c r="G21" s="94">
        <f t="shared" si="0"/>
        <v>0</v>
      </c>
      <c r="H21" s="91" t="str">
        <f t="shared" si="1"/>
        <v/>
      </c>
      <c r="I21" s="106"/>
      <c r="J21" s="154"/>
      <c r="K21" s="154"/>
      <c r="L21" s="154"/>
      <c r="M21" s="154"/>
      <c r="N21" s="154"/>
      <c r="O21" s="154"/>
    </row>
    <row r="22" spans="1:15" ht="15" customHeight="1" x14ac:dyDescent="0.25">
      <c r="A22" s="159" t="s">
        <v>47</v>
      </c>
      <c r="B22" s="163" t="s">
        <v>5</v>
      </c>
      <c r="C22" s="169">
        <v>-323394.77805999998</v>
      </c>
      <c r="D22" s="166">
        <v>-325410.27656000003</v>
      </c>
      <c r="E22" s="166">
        <v>-295080.74348</v>
      </c>
      <c r="F22" s="166">
        <v>-301324.12054000003</v>
      </c>
      <c r="G22" s="96">
        <f t="shared" si="0"/>
        <v>2015.4985000000452</v>
      </c>
      <c r="H22" s="92" t="str">
        <f t="shared" si="1"/>
        <v>-0,6%</v>
      </c>
      <c r="I22" s="93"/>
      <c r="J22" s="154"/>
      <c r="K22" s="154"/>
      <c r="L22" s="154"/>
      <c r="M22" s="154"/>
      <c r="N22" s="154"/>
      <c r="O22" s="154"/>
    </row>
    <row r="23" spans="1:15" ht="15" customHeight="1" x14ac:dyDescent="0.25">
      <c r="A23" s="159" t="s">
        <v>47</v>
      </c>
      <c r="B23" s="167" t="s">
        <v>6</v>
      </c>
      <c r="C23" s="168"/>
      <c r="D23" s="165"/>
      <c r="E23" s="165"/>
      <c r="F23" s="165"/>
      <c r="G23" s="94">
        <f t="shared" si="0"/>
        <v>0</v>
      </c>
      <c r="H23" s="91" t="str">
        <f t="shared" si="1"/>
        <v/>
      </c>
      <c r="I23" s="106"/>
      <c r="J23" s="154"/>
      <c r="K23" s="154"/>
      <c r="L23" s="154"/>
      <c r="M23" s="154"/>
      <c r="N23" s="154"/>
      <c r="O23" s="154"/>
    </row>
    <row r="24" spans="1:15" ht="15" customHeight="1" x14ac:dyDescent="0.25">
      <c r="A24" s="159" t="s">
        <v>47</v>
      </c>
      <c r="B24" s="163" t="s">
        <v>7</v>
      </c>
      <c r="C24" s="169"/>
      <c r="D24" s="166"/>
      <c r="E24" s="166"/>
      <c r="F24" s="166"/>
      <c r="G24" s="96">
        <f t="shared" si="0"/>
        <v>0</v>
      </c>
      <c r="H24" s="92" t="str">
        <f t="shared" si="1"/>
        <v/>
      </c>
      <c r="I24" s="93"/>
      <c r="J24" s="154"/>
      <c r="K24" s="154"/>
      <c r="L24" s="154"/>
      <c r="M24" s="154"/>
      <c r="N24" s="154"/>
      <c r="O24" s="154"/>
    </row>
    <row r="25" spans="1:15" s="40" customFormat="1" ht="15" customHeight="1" x14ac:dyDescent="0.25">
      <c r="A25" s="104" t="s">
        <v>47</v>
      </c>
      <c r="B25" s="107" t="s">
        <v>8</v>
      </c>
      <c r="C25" s="63">
        <f>SUMIFS((C7:C24),(A7:A24),A25)</f>
        <v>2324863.5570699996</v>
      </c>
      <c r="D25" s="63">
        <f>SUMIFS((D7:D24),(A7:A24),A25)</f>
        <v>2092388.8544499995</v>
      </c>
      <c r="E25" s="63">
        <f>SUMIFS((E7:E24),(A7:A24),A25)</f>
        <v>2113793.3931</v>
      </c>
      <c r="F25" s="63">
        <f>SUMIFS((F7:F24),(A7:A24),A25)</f>
        <v>2088431.5564199998</v>
      </c>
      <c r="G25" s="97">
        <f t="shared" si="0"/>
        <v>232474.70262000011</v>
      </c>
      <c r="H25" s="85" t="str">
        <f t="shared" si="1"/>
        <v>11,1%▲</v>
      </c>
      <c r="I25" s="106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48</v>
      </c>
      <c r="B26" s="49"/>
      <c r="C26" s="98"/>
      <c r="D26" s="98"/>
      <c r="E26" s="98"/>
      <c r="F26" s="98"/>
      <c r="G26" s="96">
        <f t="shared" si="0"/>
        <v>0</v>
      </c>
      <c r="H26" s="92" t="str">
        <f t="shared" si="1"/>
        <v/>
      </c>
      <c r="I26" s="93"/>
    </row>
    <row r="27" spans="1:15" ht="15" customHeight="1" x14ac:dyDescent="0.25">
      <c r="A27" s="159" t="s">
        <v>48</v>
      </c>
      <c r="B27" s="167" t="s">
        <v>0</v>
      </c>
      <c r="C27" s="168">
        <v>2344614.2093400001</v>
      </c>
      <c r="D27" s="165">
        <v>2235501.12066</v>
      </c>
      <c r="E27" s="165">
        <v>2161535.7446500002</v>
      </c>
      <c r="F27" s="165">
        <v>2164815.9193899999</v>
      </c>
      <c r="G27" s="94">
        <f t="shared" si="0"/>
        <v>109113.08868000004</v>
      </c>
      <c r="H27" s="91" t="str">
        <f t="shared" si="1"/>
        <v>4,9%</v>
      </c>
      <c r="I27" s="106"/>
      <c r="J27" s="154"/>
      <c r="K27" s="154"/>
      <c r="L27" s="154"/>
      <c r="M27" s="154"/>
      <c r="N27" s="154"/>
      <c r="O27" s="154"/>
    </row>
    <row r="28" spans="1:15" ht="15" customHeight="1" x14ac:dyDescent="0.25">
      <c r="A28" s="159" t="s">
        <v>48</v>
      </c>
      <c r="B28" s="163" t="s">
        <v>1</v>
      </c>
      <c r="C28" s="169">
        <v>386593.57494999998</v>
      </c>
      <c r="D28" s="166">
        <v>350339.51551</v>
      </c>
      <c r="E28" s="166">
        <v>332482.92345</v>
      </c>
      <c r="F28" s="166">
        <v>348868.09439000004</v>
      </c>
      <c r="G28" s="96">
        <f t="shared" si="0"/>
        <v>36254.059439999983</v>
      </c>
      <c r="H28" s="92" t="str">
        <f t="shared" si="1"/>
        <v>10,3%▲</v>
      </c>
      <c r="I28" s="93"/>
      <c r="J28" s="154"/>
      <c r="K28" s="154"/>
      <c r="L28" s="154"/>
      <c r="M28" s="154"/>
      <c r="N28" s="154"/>
      <c r="O28" s="154"/>
    </row>
    <row r="29" spans="1:15" ht="15" customHeight="1" x14ac:dyDescent="0.25">
      <c r="A29" s="159" t="s">
        <v>48</v>
      </c>
      <c r="B29" s="167" t="s">
        <v>2</v>
      </c>
      <c r="C29" s="168">
        <v>486495.85264999996</v>
      </c>
      <c r="D29" s="165">
        <v>343703.22514999995</v>
      </c>
      <c r="E29" s="165">
        <v>380401.83963</v>
      </c>
      <c r="F29" s="165">
        <v>368209.67441999994</v>
      </c>
      <c r="G29" s="94">
        <f t="shared" si="0"/>
        <v>142792.6275</v>
      </c>
      <c r="H29" s="91" t="str">
        <f t="shared" si="1"/>
        <v>41,5%▲</v>
      </c>
      <c r="I29" s="106"/>
      <c r="J29" s="154"/>
      <c r="K29" s="154"/>
      <c r="L29" s="154"/>
      <c r="M29" s="154"/>
      <c r="N29" s="154"/>
      <c r="O29" s="154"/>
    </row>
    <row r="30" spans="1:15" ht="15" customHeight="1" x14ac:dyDescent="0.25">
      <c r="A30" s="159" t="s">
        <v>48</v>
      </c>
      <c r="B30" s="163" t="s">
        <v>3</v>
      </c>
      <c r="C30" s="169">
        <v>4308.4079900000006</v>
      </c>
      <c r="D30" s="166">
        <v>1746.71984</v>
      </c>
      <c r="E30" s="166">
        <v>1715.0829099999999</v>
      </c>
      <c r="F30" s="166">
        <v>2787.5783099999999</v>
      </c>
      <c r="G30" s="96">
        <f t="shared" si="0"/>
        <v>2561.6881500000009</v>
      </c>
      <c r="H30" s="92" t="str">
        <f t="shared" si="1"/>
        <v>146,7%▲</v>
      </c>
      <c r="I30" s="93"/>
      <c r="J30" s="154"/>
      <c r="K30" s="154"/>
      <c r="L30" s="154"/>
      <c r="M30" s="154"/>
      <c r="N30" s="154"/>
      <c r="O30" s="154"/>
    </row>
    <row r="31" spans="1:15" ht="15" customHeight="1" x14ac:dyDescent="0.25">
      <c r="A31" s="159" t="s">
        <v>48</v>
      </c>
      <c r="B31" s="167" t="s">
        <v>4</v>
      </c>
      <c r="C31" s="168">
        <v>0</v>
      </c>
      <c r="D31" s="165">
        <v>0</v>
      </c>
      <c r="E31" s="165">
        <v>0</v>
      </c>
      <c r="F31" s="165">
        <v>0</v>
      </c>
      <c r="G31" s="94">
        <f t="shared" si="0"/>
        <v>0</v>
      </c>
      <c r="H31" s="91" t="str">
        <f t="shared" si="1"/>
        <v/>
      </c>
      <c r="I31" s="106"/>
      <c r="J31" s="154"/>
      <c r="K31" s="154"/>
      <c r="L31" s="154"/>
      <c r="M31" s="154"/>
      <c r="N31" s="154"/>
      <c r="O31" s="154"/>
    </row>
    <row r="32" spans="1:15" ht="15" customHeight="1" x14ac:dyDescent="0.25">
      <c r="A32" s="159" t="s">
        <v>48</v>
      </c>
      <c r="B32" s="163" t="s">
        <v>5</v>
      </c>
      <c r="C32" s="169">
        <v>-285380.05419</v>
      </c>
      <c r="D32" s="166">
        <v>-255451.08411</v>
      </c>
      <c r="E32" s="166">
        <v>-293590.04061000003</v>
      </c>
      <c r="F32" s="166">
        <v>-221232.08350000001</v>
      </c>
      <c r="G32" s="96">
        <f t="shared" si="0"/>
        <v>-29928.970079999999</v>
      </c>
      <c r="H32" s="92" t="str">
        <f t="shared" si="1"/>
        <v>11,7%▲</v>
      </c>
      <c r="I32" s="93"/>
      <c r="J32" s="154"/>
      <c r="K32" s="154"/>
      <c r="L32" s="154"/>
      <c r="M32" s="154"/>
      <c r="N32" s="154"/>
      <c r="O32" s="154"/>
    </row>
    <row r="33" spans="1:15" ht="15" customHeight="1" x14ac:dyDescent="0.25">
      <c r="A33" s="159" t="s">
        <v>48</v>
      </c>
      <c r="B33" s="167" t="s">
        <v>6</v>
      </c>
      <c r="C33" s="168"/>
      <c r="D33" s="165"/>
      <c r="E33" s="165"/>
      <c r="F33" s="165"/>
      <c r="G33" s="94">
        <f t="shared" si="0"/>
        <v>0</v>
      </c>
      <c r="H33" s="91" t="str">
        <f t="shared" si="1"/>
        <v/>
      </c>
      <c r="I33" s="106"/>
      <c r="J33" s="154"/>
      <c r="K33" s="154"/>
      <c r="L33" s="154"/>
      <c r="M33" s="154"/>
      <c r="N33" s="154"/>
      <c r="O33" s="154"/>
    </row>
    <row r="34" spans="1:15" ht="15" customHeight="1" x14ac:dyDescent="0.25">
      <c r="A34" s="159" t="s">
        <v>48</v>
      </c>
      <c r="B34" s="163" t="s">
        <v>7</v>
      </c>
      <c r="C34" s="169"/>
      <c r="D34" s="166"/>
      <c r="E34" s="166"/>
      <c r="F34" s="166"/>
      <c r="G34" s="96">
        <f t="shared" si="0"/>
        <v>0</v>
      </c>
      <c r="H34" s="92" t="str">
        <f t="shared" si="1"/>
        <v/>
      </c>
      <c r="I34" s="93"/>
      <c r="J34" s="154"/>
      <c r="K34" s="154"/>
      <c r="L34" s="154"/>
      <c r="M34" s="154"/>
      <c r="N34" s="154"/>
      <c r="O34" s="154"/>
    </row>
    <row r="35" spans="1:15" s="40" customFormat="1" ht="15" customHeight="1" x14ac:dyDescent="0.25">
      <c r="A35" s="104" t="s">
        <v>48</v>
      </c>
      <c r="B35" s="107" t="s">
        <v>8</v>
      </c>
      <c r="C35" s="63">
        <f>SUMIFS((C7:C34),(A7:A34),A35)</f>
        <v>2936631.9907399998</v>
      </c>
      <c r="D35" s="63">
        <f>SUMIFS((D7:D34),(A7:A34),A35)</f>
        <v>2675839.4970499994</v>
      </c>
      <c r="E35" s="63">
        <f>SUMIFS((E7:E34),(A7:A34),A35)</f>
        <v>2582545.55003</v>
      </c>
      <c r="F35" s="63">
        <f>SUMIFS((F7:F34),(A7:A34),A35)</f>
        <v>2663449.1830099998</v>
      </c>
      <c r="G35" s="97">
        <f t="shared" si="0"/>
        <v>260792.49369000038</v>
      </c>
      <c r="H35" s="85" t="str">
        <f t="shared" si="1"/>
        <v>9,7%▲</v>
      </c>
      <c r="I35" s="106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8"/>
      <c r="D36" s="98"/>
      <c r="E36" s="98"/>
      <c r="F36" s="98"/>
      <c r="G36" s="96">
        <f t="shared" si="0"/>
        <v>0</v>
      </c>
      <c r="H36" s="92" t="str">
        <f t="shared" si="1"/>
        <v/>
      </c>
      <c r="I36" s="93"/>
    </row>
    <row r="37" spans="1:15" s="40" customFormat="1" ht="15" customHeight="1" x14ac:dyDescent="0.25">
      <c r="A37" s="159" t="s">
        <v>46</v>
      </c>
      <c r="B37" s="167" t="s">
        <v>0</v>
      </c>
      <c r="C37" s="168">
        <v>3444623.6406799997</v>
      </c>
      <c r="D37" s="165">
        <v>3324750.1745799999</v>
      </c>
      <c r="E37" s="165">
        <v>3237511.29446</v>
      </c>
      <c r="F37" s="165">
        <v>3228148.3676499999</v>
      </c>
      <c r="G37" s="94">
        <f t="shared" si="0"/>
        <v>119873.46609999985</v>
      </c>
      <c r="H37" s="91" t="str">
        <f t="shared" si="1"/>
        <v>3,6%</v>
      </c>
      <c r="I37" s="106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9" t="s">
        <v>46</v>
      </c>
      <c r="B38" s="163" t="s">
        <v>1</v>
      </c>
      <c r="C38" s="169">
        <v>673513.69653999992</v>
      </c>
      <c r="D38" s="166">
        <v>684291.95123999997</v>
      </c>
      <c r="E38" s="166">
        <v>658487.69354000001</v>
      </c>
      <c r="F38" s="166">
        <v>637725.98858</v>
      </c>
      <c r="G38" s="96">
        <f t="shared" si="0"/>
        <v>-10778.254700000049</v>
      </c>
      <c r="H38" s="92" t="str">
        <f t="shared" si="1"/>
        <v>-1,6%</v>
      </c>
      <c r="I38" s="93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9" t="s">
        <v>46</v>
      </c>
      <c r="B39" s="167" t="s">
        <v>2</v>
      </c>
      <c r="C39" s="168">
        <v>1233430.4165000001</v>
      </c>
      <c r="D39" s="165">
        <v>1126374.3737699999</v>
      </c>
      <c r="E39" s="165">
        <v>1061422.1558000001</v>
      </c>
      <c r="F39" s="165">
        <v>973068.49404999998</v>
      </c>
      <c r="G39" s="94">
        <f t="shared" ref="G39:G70" si="2">IF(ISERROR(C39- D39)=TRUE,"",C39 - D39)</f>
        <v>107056.0427300001</v>
      </c>
      <c r="H39" s="91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9,5%▲</v>
      </c>
      <c r="I39" s="106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9" t="s">
        <v>46</v>
      </c>
      <c r="B40" s="163" t="s">
        <v>3</v>
      </c>
      <c r="C40" s="169">
        <v>2728.2696299999998</v>
      </c>
      <c r="D40" s="166">
        <v>1578.31141</v>
      </c>
      <c r="E40" s="166">
        <v>1206.3082199999999</v>
      </c>
      <c r="F40" s="166">
        <v>2438.9872</v>
      </c>
      <c r="G40" s="96">
        <f t="shared" si="2"/>
        <v>1149.9582199999998</v>
      </c>
      <c r="H40" s="92" t="str">
        <f t="shared" si="3"/>
        <v>72,9%▲</v>
      </c>
      <c r="I40" s="93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9" t="s">
        <v>46</v>
      </c>
      <c r="B41" s="167" t="s">
        <v>4</v>
      </c>
      <c r="C41" s="168">
        <v>0</v>
      </c>
      <c r="D41" s="165">
        <v>0</v>
      </c>
      <c r="E41" s="165">
        <v>0</v>
      </c>
      <c r="F41" s="165">
        <v>0</v>
      </c>
      <c r="G41" s="94">
        <f t="shared" si="2"/>
        <v>0</v>
      </c>
      <c r="H41" s="91" t="str">
        <f t="shared" si="3"/>
        <v/>
      </c>
      <c r="I41" s="106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9" t="s">
        <v>46</v>
      </c>
      <c r="B42" s="163" t="s">
        <v>5</v>
      </c>
      <c r="C42" s="169">
        <v>-493450.47697000002</v>
      </c>
      <c r="D42" s="166">
        <v>-483302.57940999995</v>
      </c>
      <c r="E42" s="166">
        <v>-435855.25043999997</v>
      </c>
      <c r="F42" s="166">
        <v>-454160.14299999998</v>
      </c>
      <c r="G42" s="96">
        <f t="shared" si="2"/>
        <v>-10147.89756000007</v>
      </c>
      <c r="H42" s="92" t="str">
        <f t="shared" si="3"/>
        <v>2,1%</v>
      </c>
      <c r="I42" s="93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9" t="s">
        <v>46</v>
      </c>
      <c r="B43" s="167" t="s">
        <v>6</v>
      </c>
      <c r="C43" s="168"/>
      <c r="D43" s="165"/>
      <c r="E43" s="165"/>
      <c r="F43" s="165"/>
      <c r="G43" s="94">
        <f t="shared" si="2"/>
        <v>0</v>
      </c>
      <c r="H43" s="91" t="str">
        <f t="shared" si="3"/>
        <v/>
      </c>
      <c r="I43" s="106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9" t="s">
        <v>46</v>
      </c>
      <c r="B44" s="163" t="s">
        <v>7</v>
      </c>
      <c r="C44" s="169"/>
      <c r="D44" s="166"/>
      <c r="E44" s="166"/>
      <c r="F44" s="166"/>
      <c r="G44" s="96">
        <f t="shared" si="2"/>
        <v>0</v>
      </c>
      <c r="H44" s="92" t="str">
        <f t="shared" si="3"/>
        <v/>
      </c>
      <c r="I44" s="93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4" t="s">
        <v>46</v>
      </c>
      <c r="B45" s="107" t="s">
        <v>8</v>
      </c>
      <c r="C45" s="63">
        <f>SUMIFS((C7:C44),(A7:A44),A45)</f>
        <v>4860845.5463799993</v>
      </c>
      <c r="D45" s="63">
        <f>SUMIFS((D7:D44),(A7:A44),A45)</f>
        <v>4653692.23159</v>
      </c>
      <c r="E45" s="63">
        <f>SUMIFS((E7:E44),(A7:A44),A45)</f>
        <v>4522772.2015800001</v>
      </c>
      <c r="F45" s="63">
        <f>SUMIFS((F7:F44),(A7:A44),A45)</f>
        <v>4387221.6944800001</v>
      </c>
      <c r="G45" s="97">
        <f t="shared" si="2"/>
        <v>207153.31478999928</v>
      </c>
      <c r="H45" s="85" t="str">
        <f t="shared" si="3"/>
        <v>4,5%</v>
      </c>
      <c r="I45" s="106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8"/>
      <c r="D46" s="98"/>
      <c r="E46" s="98"/>
      <c r="F46" s="98"/>
      <c r="G46" s="96">
        <f t="shared" si="2"/>
        <v>0</v>
      </c>
      <c r="H46" s="92" t="str">
        <f t="shared" si="3"/>
        <v/>
      </c>
      <c r="I46" s="93"/>
    </row>
    <row r="47" spans="1:15" ht="15" customHeight="1" x14ac:dyDescent="0.25">
      <c r="A47" s="159" t="s">
        <v>25</v>
      </c>
      <c r="B47" s="167" t="s">
        <v>0</v>
      </c>
      <c r="C47" s="168">
        <v>1938440.6921199998</v>
      </c>
      <c r="D47" s="165">
        <v>1839378.77893</v>
      </c>
      <c r="E47" s="165">
        <v>1804823.7751300002</v>
      </c>
      <c r="F47" s="165">
        <v>1775941.9643499998</v>
      </c>
      <c r="G47" s="94">
        <f t="shared" si="2"/>
        <v>99061.913189999759</v>
      </c>
      <c r="H47" s="91" t="str">
        <f t="shared" si="3"/>
        <v>5,4%</v>
      </c>
      <c r="I47" s="106"/>
      <c r="J47" s="154"/>
      <c r="K47" s="154"/>
      <c r="L47" s="154"/>
      <c r="M47" s="154"/>
      <c r="N47" s="154"/>
      <c r="O47" s="154"/>
    </row>
    <row r="48" spans="1:15" ht="15" customHeight="1" x14ac:dyDescent="0.25">
      <c r="A48" s="159" t="s">
        <v>25</v>
      </c>
      <c r="B48" s="163" t="s">
        <v>1</v>
      </c>
      <c r="C48" s="169">
        <v>299542.62308999995</v>
      </c>
      <c r="D48" s="166">
        <v>253775.77170999997</v>
      </c>
      <c r="E48" s="166">
        <v>247820.99764000002</v>
      </c>
      <c r="F48" s="166">
        <v>238763.24215999999</v>
      </c>
      <c r="G48" s="96">
        <f t="shared" si="2"/>
        <v>45766.851379999978</v>
      </c>
      <c r="H48" s="92" t="str">
        <f t="shared" si="3"/>
        <v>18,0%▲</v>
      </c>
      <c r="I48" s="93"/>
      <c r="J48" s="154"/>
      <c r="K48" s="154"/>
      <c r="L48" s="154"/>
      <c r="M48" s="154"/>
      <c r="N48" s="154"/>
      <c r="O48" s="154"/>
    </row>
    <row r="49" spans="1:15" ht="15" customHeight="1" x14ac:dyDescent="0.25">
      <c r="A49" s="159" t="s">
        <v>25</v>
      </c>
      <c r="B49" s="167" t="s">
        <v>2</v>
      </c>
      <c r="C49" s="168">
        <v>336486.58122000005</v>
      </c>
      <c r="D49" s="165">
        <v>353996.42475999997</v>
      </c>
      <c r="E49" s="165">
        <v>327271.91248</v>
      </c>
      <c r="F49" s="165">
        <v>314516.37677999999</v>
      </c>
      <c r="G49" s="94">
        <f t="shared" si="2"/>
        <v>-17509.843539999914</v>
      </c>
      <c r="H49" s="91" t="str">
        <f t="shared" si="3"/>
        <v>-4,9%</v>
      </c>
      <c r="I49" s="106"/>
      <c r="J49" s="154"/>
      <c r="K49" s="154"/>
      <c r="L49" s="154"/>
      <c r="M49" s="154"/>
      <c r="N49" s="154"/>
      <c r="O49" s="154"/>
    </row>
    <row r="50" spans="1:15" ht="15" customHeight="1" x14ac:dyDescent="0.25">
      <c r="A50" s="159" t="s">
        <v>25</v>
      </c>
      <c r="B50" s="163" t="s">
        <v>3</v>
      </c>
      <c r="C50" s="169">
        <v>2256.7940800000001</v>
      </c>
      <c r="D50" s="166">
        <v>1642.8916100000001</v>
      </c>
      <c r="E50" s="166">
        <v>1922.0753099999999</v>
      </c>
      <c r="F50" s="166">
        <v>936.9223199999999</v>
      </c>
      <c r="G50" s="96">
        <f t="shared" si="2"/>
        <v>613.90246999999999</v>
      </c>
      <c r="H50" s="92" t="str">
        <f t="shared" si="3"/>
        <v>37,4%▲</v>
      </c>
      <c r="I50" s="93"/>
      <c r="J50" s="154"/>
      <c r="K50" s="154"/>
      <c r="L50" s="154"/>
      <c r="M50" s="154"/>
      <c r="N50" s="154"/>
      <c r="O50" s="154"/>
    </row>
    <row r="51" spans="1:15" ht="15" customHeight="1" x14ac:dyDescent="0.25">
      <c r="A51" s="159" t="s">
        <v>25</v>
      </c>
      <c r="B51" s="167" t="s">
        <v>4</v>
      </c>
      <c r="C51" s="168">
        <v>0</v>
      </c>
      <c r="D51" s="165">
        <v>0</v>
      </c>
      <c r="E51" s="165">
        <v>0</v>
      </c>
      <c r="F51" s="165">
        <v>0</v>
      </c>
      <c r="G51" s="94">
        <f t="shared" si="2"/>
        <v>0</v>
      </c>
      <c r="H51" s="91" t="str">
        <f t="shared" si="3"/>
        <v/>
      </c>
      <c r="I51" s="106"/>
      <c r="J51" s="154"/>
      <c r="K51" s="154"/>
      <c r="L51" s="154"/>
      <c r="M51" s="154"/>
      <c r="N51" s="154"/>
      <c r="O51" s="154"/>
    </row>
    <row r="52" spans="1:15" ht="15" customHeight="1" x14ac:dyDescent="0.25">
      <c r="A52" s="159" t="s">
        <v>25</v>
      </c>
      <c r="B52" s="163" t="s">
        <v>5</v>
      </c>
      <c r="C52" s="169">
        <v>-75669.091230000005</v>
      </c>
      <c r="D52" s="166">
        <v>-101204.87177</v>
      </c>
      <c r="E52" s="166">
        <v>-88647.076329999996</v>
      </c>
      <c r="F52" s="166">
        <v>-94895.241120000006</v>
      </c>
      <c r="G52" s="96">
        <f t="shared" si="2"/>
        <v>25535.780539999992</v>
      </c>
      <c r="H52" s="92" t="str">
        <f t="shared" si="3"/>
        <v>-25,2%▼</v>
      </c>
      <c r="I52" s="93"/>
      <c r="J52" s="154"/>
      <c r="K52" s="154"/>
      <c r="L52" s="154"/>
      <c r="M52" s="154"/>
      <c r="N52" s="154"/>
      <c r="O52" s="154"/>
    </row>
    <row r="53" spans="1:15" ht="15" customHeight="1" x14ac:dyDescent="0.25">
      <c r="A53" s="159" t="s">
        <v>25</v>
      </c>
      <c r="B53" s="167" t="s">
        <v>6</v>
      </c>
      <c r="C53" s="168"/>
      <c r="D53" s="165"/>
      <c r="E53" s="165"/>
      <c r="F53" s="165"/>
      <c r="G53" s="94">
        <f t="shared" si="2"/>
        <v>0</v>
      </c>
      <c r="H53" s="91" t="str">
        <f t="shared" si="3"/>
        <v/>
      </c>
      <c r="I53" s="106"/>
      <c r="J53" s="154"/>
      <c r="K53" s="154"/>
      <c r="L53" s="154"/>
      <c r="M53" s="154"/>
      <c r="N53" s="154"/>
      <c r="O53" s="154"/>
    </row>
    <row r="54" spans="1:15" ht="15" customHeight="1" x14ac:dyDescent="0.25">
      <c r="A54" s="159" t="s">
        <v>25</v>
      </c>
      <c r="B54" s="163" t="s">
        <v>7</v>
      </c>
      <c r="C54" s="169"/>
      <c r="D54" s="166"/>
      <c r="E54" s="166"/>
      <c r="F54" s="166"/>
      <c r="G54" s="96">
        <f t="shared" si="2"/>
        <v>0</v>
      </c>
      <c r="H54" s="92" t="str">
        <f t="shared" si="3"/>
        <v/>
      </c>
      <c r="I54" s="93"/>
      <c r="J54" s="154"/>
      <c r="K54" s="154"/>
      <c r="L54" s="154"/>
      <c r="M54" s="154"/>
      <c r="N54" s="154"/>
      <c r="O54" s="154"/>
    </row>
    <row r="55" spans="1:15" s="40" customFormat="1" ht="15" customHeight="1" x14ac:dyDescent="0.25">
      <c r="A55" s="104" t="s">
        <v>25</v>
      </c>
      <c r="B55" s="107" t="s">
        <v>8</v>
      </c>
      <c r="C55" s="63">
        <f>SUMIFS((C7:C54),(A7:A54),A55)</f>
        <v>2501057.5992799997</v>
      </c>
      <c r="D55" s="63">
        <f>SUMIFS((D7:D54),(A7:A54),A55)</f>
        <v>2347588.9952399996</v>
      </c>
      <c r="E55" s="63">
        <f>SUMIFS((E7:E54),(A7:A54),A55)</f>
        <v>2293191.6842300002</v>
      </c>
      <c r="F55" s="63">
        <f>SUMIFS((F7:F54),(A7:A54),A55)</f>
        <v>2235263.2644899995</v>
      </c>
      <c r="G55" s="97">
        <f t="shared" si="2"/>
        <v>153468.60404000012</v>
      </c>
      <c r="H55" s="85" t="str">
        <f t="shared" si="3"/>
        <v>6,5%</v>
      </c>
      <c r="I55" s="106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8"/>
      <c r="D56" s="98"/>
      <c r="E56" s="98"/>
      <c r="F56" s="98"/>
      <c r="G56" s="96">
        <f t="shared" si="2"/>
        <v>0</v>
      </c>
      <c r="H56" s="92" t="str">
        <f t="shared" si="3"/>
        <v/>
      </c>
      <c r="I56" s="93"/>
    </row>
    <row r="57" spans="1:15" ht="15" customHeight="1" x14ac:dyDescent="0.25">
      <c r="A57" s="159" t="s">
        <v>26</v>
      </c>
      <c r="B57" s="167" t="s">
        <v>0</v>
      </c>
      <c r="C57" s="168">
        <v>317585.78613999998</v>
      </c>
      <c r="D57" s="165">
        <v>297203.38622000004</v>
      </c>
      <c r="E57" s="165">
        <v>293955.02379000001</v>
      </c>
      <c r="F57" s="165">
        <v>295913.57092999999</v>
      </c>
      <c r="G57" s="94">
        <f t="shared" si="2"/>
        <v>20382.399919999938</v>
      </c>
      <c r="H57" s="91" t="str">
        <f t="shared" si="3"/>
        <v>6,9%</v>
      </c>
      <c r="I57" s="106"/>
      <c r="J57" s="154"/>
      <c r="K57" s="154"/>
      <c r="L57" s="154"/>
      <c r="M57" s="154"/>
      <c r="N57" s="154"/>
      <c r="O57" s="154"/>
    </row>
    <row r="58" spans="1:15" ht="15" customHeight="1" x14ac:dyDescent="0.25">
      <c r="A58" s="159" t="s">
        <v>26</v>
      </c>
      <c r="B58" s="163" t="s">
        <v>1</v>
      </c>
      <c r="C58" s="169">
        <v>43264.948200000006</v>
      </c>
      <c r="D58" s="166">
        <v>35149.037449999996</v>
      </c>
      <c r="E58" s="166">
        <v>33638.834860000003</v>
      </c>
      <c r="F58" s="166">
        <v>34020.481089999994</v>
      </c>
      <c r="G58" s="96">
        <f t="shared" si="2"/>
        <v>8115.91075000001</v>
      </c>
      <c r="H58" s="92" t="str">
        <f t="shared" si="3"/>
        <v>23,1%▲</v>
      </c>
      <c r="I58" s="93"/>
      <c r="J58" s="154"/>
      <c r="K58" s="154"/>
      <c r="L58" s="154"/>
      <c r="M58" s="154"/>
      <c r="N58" s="154"/>
      <c r="O58" s="154"/>
    </row>
    <row r="59" spans="1:15" ht="15" customHeight="1" x14ac:dyDescent="0.25">
      <c r="A59" s="159" t="s">
        <v>26</v>
      </c>
      <c r="B59" s="167" t="s">
        <v>2</v>
      </c>
      <c r="C59" s="168">
        <v>70444.008229999992</v>
      </c>
      <c r="D59" s="165">
        <v>72849.853719999999</v>
      </c>
      <c r="E59" s="165">
        <v>85561.934880000001</v>
      </c>
      <c r="F59" s="165">
        <v>87704.588860000003</v>
      </c>
      <c r="G59" s="94">
        <f t="shared" si="2"/>
        <v>-2405.845490000007</v>
      </c>
      <c r="H59" s="91" t="str">
        <f t="shared" si="3"/>
        <v>-3,3%</v>
      </c>
      <c r="I59" s="106"/>
      <c r="J59" s="154"/>
      <c r="K59" s="154"/>
      <c r="L59" s="154"/>
      <c r="M59" s="154"/>
      <c r="N59" s="154"/>
      <c r="O59" s="154"/>
    </row>
    <row r="60" spans="1:15" ht="15" customHeight="1" x14ac:dyDescent="0.25">
      <c r="A60" s="159" t="s">
        <v>26</v>
      </c>
      <c r="B60" s="163" t="s">
        <v>3</v>
      </c>
      <c r="C60" s="169">
        <v>1892.9401599999999</v>
      </c>
      <c r="D60" s="166">
        <v>644.45467000000008</v>
      </c>
      <c r="E60" s="166">
        <v>138.13407000000001</v>
      </c>
      <c r="F60" s="166">
        <v>447.91759999999999</v>
      </c>
      <c r="G60" s="96">
        <f t="shared" si="2"/>
        <v>1248.4854899999998</v>
      </c>
      <c r="H60" s="92" t="str">
        <f t="shared" si="3"/>
        <v>193,7%▲</v>
      </c>
      <c r="I60" s="93"/>
      <c r="J60" s="154"/>
      <c r="K60" s="154"/>
      <c r="L60" s="154"/>
      <c r="M60" s="154"/>
      <c r="N60" s="154"/>
      <c r="O60" s="154"/>
    </row>
    <row r="61" spans="1:15" ht="15" customHeight="1" x14ac:dyDescent="0.25">
      <c r="A61" s="159" t="s">
        <v>26</v>
      </c>
      <c r="B61" s="167" t="s">
        <v>4</v>
      </c>
      <c r="C61" s="168">
        <v>0</v>
      </c>
      <c r="D61" s="165">
        <v>0</v>
      </c>
      <c r="E61" s="165">
        <v>0</v>
      </c>
      <c r="F61" s="165">
        <v>0</v>
      </c>
      <c r="G61" s="94">
        <f t="shared" si="2"/>
        <v>0</v>
      </c>
      <c r="H61" s="91" t="str">
        <f t="shared" si="3"/>
        <v/>
      </c>
      <c r="I61" s="106"/>
      <c r="J61" s="154"/>
      <c r="K61" s="154"/>
      <c r="L61" s="154"/>
      <c r="M61" s="154"/>
      <c r="N61" s="154"/>
      <c r="O61" s="154"/>
    </row>
    <row r="62" spans="1:15" ht="15" customHeight="1" x14ac:dyDescent="0.25">
      <c r="A62" s="159" t="s">
        <v>26</v>
      </c>
      <c r="B62" s="163" t="s">
        <v>5</v>
      </c>
      <c r="C62" s="169">
        <v>-9944.0720000000001</v>
      </c>
      <c r="D62" s="166">
        <v>-13787.820159999999</v>
      </c>
      <c r="E62" s="166">
        <v>-13219.491800000002</v>
      </c>
      <c r="F62" s="166">
        <v>-10802.80336</v>
      </c>
      <c r="G62" s="96">
        <f t="shared" si="2"/>
        <v>3843.7481599999992</v>
      </c>
      <c r="H62" s="92" t="str">
        <f t="shared" si="3"/>
        <v>-27,9%▼</v>
      </c>
      <c r="I62" s="93"/>
      <c r="J62" s="154"/>
      <c r="K62" s="154"/>
      <c r="L62" s="154"/>
      <c r="M62" s="154"/>
      <c r="N62" s="154"/>
      <c r="O62" s="154"/>
    </row>
    <row r="63" spans="1:15" ht="15" customHeight="1" x14ac:dyDescent="0.25">
      <c r="A63" s="159" t="s">
        <v>26</v>
      </c>
      <c r="B63" s="167" t="s">
        <v>6</v>
      </c>
      <c r="C63" s="168"/>
      <c r="D63" s="165"/>
      <c r="E63" s="165"/>
      <c r="F63" s="165"/>
      <c r="G63" s="94">
        <f t="shared" si="2"/>
        <v>0</v>
      </c>
      <c r="H63" s="91" t="str">
        <f t="shared" si="3"/>
        <v/>
      </c>
      <c r="I63" s="106"/>
      <c r="J63" s="154"/>
      <c r="K63" s="154"/>
      <c r="L63" s="154"/>
      <c r="M63" s="154"/>
      <c r="N63" s="154"/>
      <c r="O63" s="154"/>
    </row>
    <row r="64" spans="1:15" ht="15" customHeight="1" x14ac:dyDescent="0.25">
      <c r="A64" s="159" t="s">
        <v>26</v>
      </c>
      <c r="B64" s="163" t="s">
        <v>7</v>
      </c>
      <c r="C64" s="169"/>
      <c r="D64" s="166"/>
      <c r="E64" s="166"/>
      <c r="F64" s="166"/>
      <c r="G64" s="96">
        <f t="shared" si="2"/>
        <v>0</v>
      </c>
      <c r="H64" s="92" t="str">
        <f t="shared" si="3"/>
        <v/>
      </c>
      <c r="I64" s="93"/>
      <c r="J64" s="154"/>
      <c r="K64" s="154"/>
      <c r="L64" s="154"/>
      <c r="M64" s="154"/>
      <c r="N64" s="154"/>
      <c r="O64" s="154"/>
    </row>
    <row r="65" spans="1:15" s="40" customFormat="1" ht="15" customHeight="1" x14ac:dyDescent="0.25">
      <c r="A65" s="104" t="s">
        <v>26</v>
      </c>
      <c r="B65" s="107" t="s">
        <v>8</v>
      </c>
      <c r="C65" s="63">
        <f>SUMIFS((C7:C64),(A7:A64),A65)</f>
        <v>423243.61072999996</v>
      </c>
      <c r="D65" s="63">
        <f>SUMIFS((D7:D64),(A7:A64),A65)</f>
        <v>392058.91190000006</v>
      </c>
      <c r="E65" s="63">
        <f>SUMIFS((E7:E64),(A7:A64),A65)</f>
        <v>400074.43579999998</v>
      </c>
      <c r="F65" s="63">
        <f>SUMIFS((F7:F64),(A7:A64),A65)</f>
        <v>407283.75511999999</v>
      </c>
      <c r="G65" s="97">
        <f t="shared" si="2"/>
        <v>31184.698829999892</v>
      </c>
      <c r="H65" s="85" t="str">
        <f t="shared" si="3"/>
        <v>8,0%▲</v>
      </c>
      <c r="I65" s="106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5" t="s">
        <v>53</v>
      </c>
      <c r="B66" s="49"/>
      <c r="C66" s="98"/>
      <c r="D66" s="98"/>
      <c r="E66" s="98"/>
      <c r="F66" s="98"/>
      <c r="G66" s="96">
        <f t="shared" si="2"/>
        <v>0</v>
      </c>
      <c r="H66" s="92" t="str">
        <f t="shared" si="3"/>
        <v/>
      </c>
      <c r="I66" s="93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26" t="s">
        <v>53</v>
      </c>
      <c r="B67" s="167" t="s">
        <v>0</v>
      </c>
      <c r="C67" s="168">
        <v>210270.78703000001</v>
      </c>
      <c r="D67" s="165">
        <v>190888.64405999999</v>
      </c>
      <c r="E67" s="165">
        <v>161553.50013</v>
      </c>
      <c r="F67" s="165">
        <v>116663.73311</v>
      </c>
      <c r="G67" s="94">
        <f t="shared" si="2"/>
        <v>19382.142970000015</v>
      </c>
      <c r="H67" s="91" t="str">
        <f t="shared" si="3"/>
        <v>10,2%▲</v>
      </c>
      <c r="I67" s="106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26" t="s">
        <v>53</v>
      </c>
      <c r="B68" s="163" t="s">
        <v>1</v>
      </c>
      <c r="C68" s="169">
        <v>88269.529949999996</v>
      </c>
      <c r="D68" s="166">
        <v>76697.758920000007</v>
      </c>
      <c r="E68" s="166">
        <v>66867.713789999994</v>
      </c>
      <c r="F68" s="166">
        <v>47248.948509999995</v>
      </c>
      <c r="G68" s="96">
        <f t="shared" si="2"/>
        <v>11571.771029999989</v>
      </c>
      <c r="H68" s="92" t="str">
        <f t="shared" si="3"/>
        <v>15,1%▲</v>
      </c>
      <c r="I68" s="93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26" t="s">
        <v>53</v>
      </c>
      <c r="B69" s="167" t="s">
        <v>2</v>
      </c>
      <c r="C69" s="168">
        <v>-72160.426820000008</v>
      </c>
      <c r="D69" s="165">
        <v>79318.274019999997</v>
      </c>
      <c r="E69" s="165">
        <v>84947.329750000004</v>
      </c>
      <c r="F69" s="165">
        <v>68476.199510000006</v>
      </c>
      <c r="G69" s="94">
        <f t="shared" si="2"/>
        <v>-151478.70084</v>
      </c>
      <c r="H69" s="91" t="str">
        <f t="shared" si="3"/>
        <v>-191,0%▼</v>
      </c>
      <c r="I69" s="106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26" t="s">
        <v>53</v>
      </c>
      <c r="B70" s="163" t="s">
        <v>3</v>
      </c>
      <c r="C70" s="169">
        <v>2.51993</v>
      </c>
      <c r="D70" s="166">
        <v>1.4837499999999999</v>
      </c>
      <c r="E70" s="166">
        <v>0</v>
      </c>
      <c r="F70" s="166">
        <v>0</v>
      </c>
      <c r="G70" s="96">
        <f t="shared" si="2"/>
        <v>1.0361800000000001</v>
      </c>
      <c r="H70" s="92" t="str">
        <f t="shared" si="3"/>
        <v>69,8%▲</v>
      </c>
      <c r="I70" s="93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26" t="s">
        <v>53</v>
      </c>
      <c r="B71" s="167" t="s">
        <v>4</v>
      </c>
      <c r="C71" s="168">
        <v>0</v>
      </c>
      <c r="D71" s="165">
        <v>0</v>
      </c>
      <c r="E71" s="165">
        <v>0</v>
      </c>
      <c r="F71" s="165">
        <v>0</v>
      </c>
      <c r="G71" s="94">
        <f t="shared" ref="G71:G95" si="4">IF(ISERROR(C71- D71)=TRUE,"",C71 - D71)</f>
        <v>0</v>
      </c>
      <c r="H71" s="91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6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26" t="s">
        <v>53</v>
      </c>
      <c r="B72" s="163" t="s">
        <v>5</v>
      </c>
      <c r="C72" s="169">
        <v>-92764.576310000004</v>
      </c>
      <c r="D72" s="166">
        <v>-247756.90712000002</v>
      </c>
      <c r="E72" s="166">
        <v>-221100.04908</v>
      </c>
      <c r="F72" s="166">
        <v>-181698.21555000002</v>
      </c>
      <c r="G72" s="96">
        <f t="shared" si="4"/>
        <v>154992.33081000001</v>
      </c>
      <c r="H72" s="92" t="str">
        <f t="shared" si="5"/>
        <v>-62,6%▼</v>
      </c>
      <c r="I72" s="93"/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26" t="s">
        <v>53</v>
      </c>
      <c r="B73" s="167" t="s">
        <v>6</v>
      </c>
      <c r="C73" s="168"/>
      <c r="D73" s="165"/>
      <c r="E73" s="165"/>
      <c r="F73" s="165"/>
      <c r="G73" s="94">
        <f t="shared" si="4"/>
        <v>0</v>
      </c>
      <c r="H73" s="91" t="str">
        <f t="shared" si="5"/>
        <v/>
      </c>
      <c r="I73" s="106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26" t="s">
        <v>53</v>
      </c>
      <c r="B74" s="163" t="s">
        <v>7</v>
      </c>
      <c r="C74" s="169"/>
      <c r="D74" s="166"/>
      <c r="E74" s="166"/>
      <c r="F74" s="166"/>
      <c r="G74" s="96">
        <f t="shared" si="4"/>
        <v>0</v>
      </c>
      <c r="H74" s="92" t="str">
        <f t="shared" si="5"/>
        <v/>
      </c>
      <c r="I74" s="93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26" t="s">
        <v>53</v>
      </c>
      <c r="B75" s="107" t="s">
        <v>8</v>
      </c>
      <c r="C75" s="63">
        <f>SUMIFS((C7:C74),(A7:A74),A75)</f>
        <v>133617.83378000002</v>
      </c>
      <c r="D75" s="63">
        <f>SUMIFS((D7:D74),(A7:A74),A75)</f>
        <v>99149.253630000021</v>
      </c>
      <c r="E75" s="63">
        <f>SUMIFS((E7:E74),(A7:A74),A75)</f>
        <v>92268.494590000046</v>
      </c>
      <c r="F75" s="63">
        <f>SUMIFS((F7:F74),(A7:A74),A75)</f>
        <v>50690.665579999972</v>
      </c>
      <c r="G75" s="97">
        <f t="shared" si="4"/>
        <v>34468.580149999994</v>
      </c>
      <c r="H75" s="85" t="str">
        <f t="shared" si="5"/>
        <v>34,8%▲</v>
      </c>
      <c r="I75" s="106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8"/>
      <c r="D76" s="98"/>
      <c r="E76" s="98"/>
      <c r="F76" s="98"/>
      <c r="G76" s="96">
        <f t="shared" si="4"/>
        <v>0</v>
      </c>
      <c r="H76" s="92" t="str">
        <f t="shared" si="5"/>
        <v/>
      </c>
      <c r="I76" s="93"/>
    </row>
    <row r="77" spans="1:15" ht="15" customHeight="1" x14ac:dyDescent="0.25">
      <c r="A77" s="159" t="s">
        <v>27</v>
      </c>
      <c r="B77" s="167" t="s">
        <v>0</v>
      </c>
      <c r="C77" s="168"/>
      <c r="D77" s="165"/>
      <c r="E77" s="165"/>
      <c r="F77" s="165"/>
      <c r="G77" s="94">
        <f t="shared" si="4"/>
        <v>0</v>
      </c>
      <c r="H77" s="91" t="str">
        <f t="shared" si="5"/>
        <v/>
      </c>
      <c r="I77" s="106"/>
      <c r="J77" s="154"/>
      <c r="K77" s="154"/>
      <c r="L77" s="154"/>
      <c r="M77" s="154"/>
      <c r="N77" s="154"/>
      <c r="O77" s="154"/>
    </row>
    <row r="78" spans="1:15" ht="15" customHeight="1" x14ac:dyDescent="0.25">
      <c r="A78" s="159" t="s">
        <v>27</v>
      </c>
      <c r="B78" s="163" t="s">
        <v>1</v>
      </c>
      <c r="C78" s="169"/>
      <c r="D78" s="166"/>
      <c r="E78" s="166"/>
      <c r="F78" s="166"/>
      <c r="G78" s="96">
        <f t="shared" si="4"/>
        <v>0</v>
      </c>
      <c r="H78" s="92" t="str">
        <f t="shared" si="5"/>
        <v/>
      </c>
      <c r="I78" s="93"/>
      <c r="J78" s="154"/>
      <c r="K78" s="154"/>
      <c r="L78" s="154"/>
      <c r="M78" s="154"/>
      <c r="N78" s="154"/>
      <c r="O78" s="154"/>
    </row>
    <row r="79" spans="1:15" ht="15" customHeight="1" x14ac:dyDescent="0.25">
      <c r="A79" s="159" t="s">
        <v>27</v>
      </c>
      <c r="B79" s="167" t="s">
        <v>2</v>
      </c>
      <c r="C79" s="168"/>
      <c r="D79" s="165"/>
      <c r="E79" s="165"/>
      <c r="F79" s="165"/>
      <c r="G79" s="94">
        <f t="shared" si="4"/>
        <v>0</v>
      </c>
      <c r="H79" s="91" t="str">
        <f t="shared" si="5"/>
        <v/>
      </c>
      <c r="I79" s="106"/>
      <c r="J79" s="154"/>
      <c r="K79" s="154"/>
      <c r="L79" s="154"/>
      <c r="M79" s="154"/>
      <c r="N79" s="154"/>
      <c r="O79" s="154"/>
    </row>
    <row r="80" spans="1:15" ht="15" customHeight="1" x14ac:dyDescent="0.25">
      <c r="A80" s="159" t="s">
        <v>27</v>
      </c>
      <c r="B80" s="163" t="s">
        <v>3</v>
      </c>
      <c r="C80" s="169"/>
      <c r="D80" s="166"/>
      <c r="E80" s="166"/>
      <c r="F80" s="166"/>
      <c r="G80" s="96">
        <f t="shared" si="4"/>
        <v>0</v>
      </c>
      <c r="H80" s="92" t="str">
        <f t="shared" si="5"/>
        <v/>
      </c>
      <c r="I80" s="93"/>
      <c r="J80" s="154"/>
      <c r="K80" s="154"/>
      <c r="L80" s="154"/>
      <c r="M80" s="154"/>
      <c r="N80" s="154"/>
      <c r="O80" s="154"/>
    </row>
    <row r="81" spans="1:15" ht="15" customHeight="1" x14ac:dyDescent="0.25">
      <c r="A81" s="159" t="s">
        <v>27</v>
      </c>
      <c r="B81" s="167" t="s">
        <v>4</v>
      </c>
      <c r="C81" s="168"/>
      <c r="D81" s="165"/>
      <c r="E81" s="165"/>
      <c r="F81" s="165"/>
      <c r="G81" s="94">
        <f t="shared" si="4"/>
        <v>0</v>
      </c>
      <c r="H81" s="91" t="str">
        <f t="shared" si="5"/>
        <v/>
      </c>
      <c r="I81" s="106"/>
      <c r="J81" s="154"/>
      <c r="K81" s="154"/>
      <c r="L81" s="154"/>
      <c r="M81" s="154"/>
      <c r="N81" s="154"/>
      <c r="O81" s="154"/>
    </row>
    <row r="82" spans="1:15" ht="15" customHeight="1" x14ac:dyDescent="0.25">
      <c r="A82" s="159" t="s">
        <v>27</v>
      </c>
      <c r="B82" s="163" t="s">
        <v>5</v>
      </c>
      <c r="C82" s="169"/>
      <c r="D82" s="166"/>
      <c r="E82" s="166"/>
      <c r="F82" s="166"/>
      <c r="G82" s="96">
        <f t="shared" si="4"/>
        <v>0</v>
      </c>
      <c r="H82" s="92" t="str">
        <f t="shared" si="5"/>
        <v/>
      </c>
      <c r="I82" s="93"/>
      <c r="J82" s="154"/>
      <c r="K82" s="154"/>
      <c r="L82" s="154"/>
      <c r="M82" s="154"/>
      <c r="N82" s="154"/>
      <c r="O82" s="154"/>
    </row>
    <row r="83" spans="1:15" ht="15" customHeight="1" x14ac:dyDescent="0.25">
      <c r="A83" s="159" t="s">
        <v>27</v>
      </c>
      <c r="B83" s="167" t="s">
        <v>6</v>
      </c>
      <c r="C83" s="168"/>
      <c r="D83" s="165"/>
      <c r="E83" s="165"/>
      <c r="F83" s="165"/>
      <c r="G83" s="94">
        <f t="shared" si="4"/>
        <v>0</v>
      </c>
      <c r="H83" s="91" t="str">
        <f t="shared" si="5"/>
        <v/>
      </c>
      <c r="I83" s="106"/>
      <c r="J83" s="154"/>
      <c r="K83" s="154"/>
      <c r="L83" s="154"/>
      <c r="M83" s="154"/>
      <c r="N83" s="154"/>
      <c r="O83" s="154"/>
    </row>
    <row r="84" spans="1:15" ht="15" customHeight="1" x14ac:dyDescent="0.25">
      <c r="A84" s="159" t="s">
        <v>27</v>
      </c>
      <c r="B84" s="163" t="s">
        <v>7</v>
      </c>
      <c r="C84" s="169"/>
      <c r="D84" s="166"/>
      <c r="E84" s="166"/>
      <c r="F84" s="166"/>
      <c r="G84" s="96">
        <f t="shared" si="4"/>
        <v>0</v>
      </c>
      <c r="H84" s="92" t="str">
        <f t="shared" si="5"/>
        <v/>
      </c>
      <c r="I84" s="93"/>
      <c r="J84" s="154"/>
      <c r="K84" s="154"/>
      <c r="L84" s="154"/>
      <c r="M84" s="154"/>
      <c r="N84" s="154"/>
      <c r="O84" s="154"/>
    </row>
    <row r="85" spans="1:15" s="40" customFormat="1" ht="15" customHeight="1" x14ac:dyDescent="0.25">
      <c r="A85" s="104" t="s">
        <v>27</v>
      </c>
      <c r="B85" s="107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7">
        <f t="shared" si="4"/>
        <v>0</v>
      </c>
      <c r="H85" s="85" t="str">
        <f t="shared" si="5"/>
        <v/>
      </c>
      <c r="I85" s="106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8"/>
      <c r="D86" s="98"/>
      <c r="E86" s="98"/>
      <c r="F86" s="98"/>
      <c r="G86" s="96">
        <f t="shared" si="4"/>
        <v>0</v>
      </c>
      <c r="H86" s="92" t="str">
        <f t="shared" si="5"/>
        <v/>
      </c>
      <c r="I86" s="93"/>
    </row>
    <row r="87" spans="1:15" ht="15" customHeight="1" x14ac:dyDescent="0.25">
      <c r="A87" s="159" t="s">
        <v>28</v>
      </c>
      <c r="B87" s="167" t="s">
        <v>0</v>
      </c>
      <c r="C87" s="168"/>
      <c r="D87" s="165"/>
      <c r="E87" s="165"/>
      <c r="F87" s="165"/>
      <c r="G87" s="94">
        <f t="shared" si="4"/>
        <v>0</v>
      </c>
      <c r="H87" s="91" t="str">
        <f t="shared" si="5"/>
        <v/>
      </c>
      <c r="I87" s="106"/>
      <c r="J87" s="154"/>
      <c r="K87" s="154"/>
      <c r="L87" s="154"/>
      <c r="M87" s="154"/>
      <c r="N87" s="154"/>
      <c r="O87" s="154"/>
    </row>
    <row r="88" spans="1:15" ht="15" customHeight="1" x14ac:dyDescent="0.25">
      <c r="A88" s="159" t="s">
        <v>28</v>
      </c>
      <c r="B88" s="163" t="s">
        <v>1</v>
      </c>
      <c r="C88" s="169"/>
      <c r="D88" s="166"/>
      <c r="E88" s="166"/>
      <c r="F88" s="166"/>
      <c r="G88" s="96">
        <f t="shared" si="4"/>
        <v>0</v>
      </c>
      <c r="H88" s="92" t="str">
        <f t="shared" si="5"/>
        <v/>
      </c>
      <c r="I88" s="93"/>
      <c r="J88" s="154"/>
      <c r="K88" s="154"/>
      <c r="L88" s="154"/>
      <c r="M88" s="154"/>
      <c r="N88" s="154"/>
      <c r="O88" s="154"/>
    </row>
    <row r="89" spans="1:15" ht="15" customHeight="1" x14ac:dyDescent="0.25">
      <c r="A89" s="159" t="s">
        <v>28</v>
      </c>
      <c r="B89" s="167" t="s">
        <v>2</v>
      </c>
      <c r="C89" s="168"/>
      <c r="D89" s="165"/>
      <c r="E89" s="165"/>
      <c r="F89" s="165"/>
      <c r="G89" s="94">
        <f t="shared" si="4"/>
        <v>0</v>
      </c>
      <c r="H89" s="91" t="str">
        <f t="shared" si="5"/>
        <v/>
      </c>
      <c r="I89" s="106"/>
      <c r="J89" s="154"/>
      <c r="K89" s="154"/>
      <c r="L89" s="154"/>
      <c r="M89" s="154"/>
      <c r="N89" s="154"/>
      <c r="O89" s="154"/>
    </row>
    <row r="90" spans="1:15" ht="15" customHeight="1" x14ac:dyDescent="0.25">
      <c r="A90" s="159" t="s">
        <v>28</v>
      </c>
      <c r="B90" s="163" t="s">
        <v>3</v>
      </c>
      <c r="C90" s="169"/>
      <c r="D90" s="166"/>
      <c r="E90" s="166"/>
      <c r="F90" s="166"/>
      <c r="G90" s="96">
        <f t="shared" si="4"/>
        <v>0</v>
      </c>
      <c r="H90" s="92" t="str">
        <f t="shared" si="5"/>
        <v/>
      </c>
      <c r="I90" s="93"/>
      <c r="J90" s="154"/>
      <c r="K90" s="154"/>
      <c r="L90" s="154"/>
      <c r="M90" s="154"/>
      <c r="N90" s="154"/>
      <c r="O90" s="154"/>
    </row>
    <row r="91" spans="1:15" ht="15" customHeight="1" x14ac:dyDescent="0.25">
      <c r="A91" s="159" t="s">
        <v>28</v>
      </c>
      <c r="B91" s="167" t="s">
        <v>4</v>
      </c>
      <c r="C91" s="168"/>
      <c r="D91" s="165"/>
      <c r="E91" s="165"/>
      <c r="F91" s="165"/>
      <c r="G91" s="94">
        <f t="shared" si="4"/>
        <v>0</v>
      </c>
      <c r="H91" s="91" t="str">
        <f t="shared" si="5"/>
        <v/>
      </c>
      <c r="I91" s="106"/>
      <c r="J91" s="154"/>
      <c r="K91" s="154"/>
      <c r="L91" s="154"/>
      <c r="M91" s="154"/>
      <c r="N91" s="154"/>
      <c r="O91" s="154"/>
    </row>
    <row r="92" spans="1:15" ht="15" customHeight="1" x14ac:dyDescent="0.25">
      <c r="A92" s="159" t="s">
        <v>28</v>
      </c>
      <c r="B92" s="163" t="s">
        <v>5</v>
      </c>
      <c r="C92" s="169"/>
      <c r="D92" s="166"/>
      <c r="E92" s="166"/>
      <c r="F92" s="166"/>
      <c r="G92" s="96">
        <f t="shared" si="4"/>
        <v>0</v>
      </c>
      <c r="H92" s="92" t="str">
        <f t="shared" si="5"/>
        <v/>
      </c>
      <c r="I92" s="93"/>
      <c r="J92" s="154"/>
      <c r="K92" s="154"/>
      <c r="L92" s="154"/>
      <c r="M92" s="154"/>
      <c r="N92" s="154"/>
      <c r="O92" s="154"/>
    </row>
    <row r="93" spans="1:15" ht="15" customHeight="1" x14ac:dyDescent="0.25">
      <c r="A93" s="159" t="s">
        <v>28</v>
      </c>
      <c r="B93" s="167" t="s">
        <v>6</v>
      </c>
      <c r="C93" s="168"/>
      <c r="D93" s="165"/>
      <c r="E93" s="165"/>
      <c r="F93" s="165"/>
      <c r="G93" s="94">
        <f t="shared" si="4"/>
        <v>0</v>
      </c>
      <c r="H93" s="91" t="str">
        <f t="shared" si="5"/>
        <v/>
      </c>
      <c r="I93" s="106"/>
      <c r="J93" s="154"/>
      <c r="K93" s="154"/>
      <c r="L93" s="154"/>
      <c r="M93" s="154"/>
      <c r="N93" s="154"/>
      <c r="O93" s="154"/>
    </row>
    <row r="94" spans="1:15" ht="15" customHeight="1" x14ac:dyDescent="0.25">
      <c r="A94" s="159" t="s">
        <v>28</v>
      </c>
      <c r="B94" s="163" t="s">
        <v>7</v>
      </c>
      <c r="C94" s="169"/>
      <c r="D94" s="166"/>
      <c r="E94" s="166"/>
      <c r="F94" s="166"/>
      <c r="G94" s="96">
        <f t="shared" si="4"/>
        <v>0</v>
      </c>
      <c r="H94" s="92" t="str">
        <f t="shared" si="5"/>
        <v/>
      </c>
      <c r="I94" s="93"/>
      <c r="J94" s="154"/>
      <c r="K94" s="154"/>
      <c r="L94" s="154"/>
      <c r="M94" s="154"/>
      <c r="N94" s="154"/>
      <c r="O94" s="154"/>
    </row>
    <row r="95" spans="1:15" s="40" customFormat="1" ht="15" customHeight="1" x14ac:dyDescent="0.25">
      <c r="A95" s="104" t="s">
        <v>28</v>
      </c>
      <c r="B95" s="107" t="s">
        <v>8</v>
      </c>
      <c r="C95" s="63">
        <f>SUMIFS((C7:C94),(A7:A94),A95)</f>
        <v>0</v>
      </c>
      <c r="D95" s="63">
        <f>SUMIFS((D7:D94),(A7:A94),A95)</f>
        <v>0</v>
      </c>
      <c r="E95" s="63">
        <f>SUMIFS((E7:E94),(A7:A94),A95)</f>
        <v>0</v>
      </c>
      <c r="F95" s="63">
        <f>SUMIFS((F7:F94),(A7:A94),A95)</f>
        <v>0</v>
      </c>
      <c r="G95" s="97">
        <f t="shared" si="4"/>
        <v>0</v>
      </c>
      <c r="H95" s="85" t="str">
        <f t="shared" si="5"/>
        <v/>
      </c>
      <c r="I95" s="106"/>
      <c r="J95" s="39"/>
      <c r="K95" s="39"/>
      <c r="L95" s="39"/>
      <c r="M95" s="39"/>
      <c r="N95" s="39"/>
      <c r="O95" s="39"/>
    </row>
    <row r="96" spans="1:15" ht="15" customHeight="1" x14ac:dyDescent="0.25">
      <c r="C96" s="160"/>
      <c r="D96" s="160"/>
      <c r="E96" s="160"/>
      <c r="F96" s="160"/>
    </row>
    <row r="97" spans="3:6" ht="15" customHeight="1" x14ac:dyDescent="0.25">
      <c r="C97" s="160"/>
      <c r="D97" s="160"/>
      <c r="E97" s="160"/>
      <c r="F97" s="160"/>
    </row>
    <row r="98" spans="3:6" ht="15" customHeight="1" x14ac:dyDescent="0.25">
      <c r="C98" s="160"/>
      <c r="D98" s="160"/>
      <c r="E98" s="160"/>
      <c r="F98" s="160"/>
    </row>
    <row r="99" spans="3:6" ht="15" customHeight="1" x14ac:dyDescent="0.25">
      <c r="C99" s="160"/>
      <c r="D99" s="160"/>
      <c r="E99" s="160"/>
      <c r="F99" s="160"/>
    </row>
    <row r="100" spans="3:6" ht="15" customHeight="1" x14ac:dyDescent="0.25">
      <c r="C100" s="160"/>
      <c r="D100" s="160"/>
      <c r="E100" s="160"/>
      <c r="F100" s="160"/>
    </row>
    <row r="101" spans="3:6" ht="15" customHeight="1" x14ac:dyDescent="0.25">
      <c r="C101" s="160"/>
      <c r="D101" s="160"/>
      <c r="E101" s="160"/>
      <c r="F101" s="160"/>
    </row>
    <row r="102" spans="3:6" ht="15" customHeight="1" x14ac:dyDescent="0.25">
      <c r="C102" s="160"/>
      <c r="D102" s="160"/>
      <c r="E102" s="160"/>
      <c r="F102" s="160"/>
    </row>
    <row r="103" spans="3:6" ht="15" customHeight="1" x14ac:dyDescent="0.25">
      <c r="C103" s="160"/>
      <c r="D103" s="160"/>
      <c r="E103" s="160"/>
      <c r="F103" s="160"/>
    </row>
    <row r="104" spans="3:6" ht="15" customHeight="1" x14ac:dyDescent="0.25">
      <c r="C104" s="160"/>
      <c r="D104" s="160"/>
      <c r="E104" s="160"/>
      <c r="F104" s="160"/>
    </row>
    <row r="105" spans="3:6" ht="15" customHeight="1" x14ac:dyDescent="0.25">
      <c r="C105" s="160"/>
      <c r="D105" s="160"/>
      <c r="E105" s="160"/>
      <c r="F105" s="160"/>
    </row>
    <row r="106" spans="3:6" ht="15" customHeight="1" x14ac:dyDescent="0.25">
      <c r="C106" s="160"/>
      <c r="D106" s="160"/>
      <c r="E106" s="160"/>
      <c r="F106" s="160"/>
    </row>
    <row r="107" spans="3:6" ht="15" customHeight="1" x14ac:dyDescent="0.25">
      <c r="C107" s="160"/>
      <c r="D107" s="160"/>
      <c r="E107" s="160"/>
      <c r="F107" s="160"/>
    </row>
    <row r="108" spans="3:6" ht="15" customHeight="1" x14ac:dyDescent="0.25">
      <c r="C108" s="160"/>
      <c r="D108" s="160"/>
      <c r="E108" s="160"/>
      <c r="F108" s="160"/>
    </row>
    <row r="109" spans="3:6" ht="15" customHeight="1" x14ac:dyDescent="0.25">
      <c r="C109" s="160"/>
      <c r="D109" s="160"/>
      <c r="E109" s="160"/>
      <c r="F109" s="160"/>
    </row>
    <row r="110" spans="3:6" ht="15" customHeight="1" x14ac:dyDescent="0.25">
      <c r="C110" s="160"/>
      <c r="D110" s="160"/>
      <c r="E110" s="160"/>
      <c r="F110" s="160"/>
    </row>
    <row r="111" spans="3:6" ht="15" customHeight="1" x14ac:dyDescent="0.25">
      <c r="C111" s="160"/>
      <c r="D111" s="160"/>
      <c r="E111" s="160"/>
      <c r="F111" s="160"/>
    </row>
    <row r="112" spans="3:6" ht="15" customHeight="1" x14ac:dyDescent="0.25">
      <c r="C112" s="160"/>
      <c r="D112" s="160"/>
      <c r="E112" s="160"/>
      <c r="F112" s="160"/>
    </row>
    <row r="113" spans="3:6" ht="15" customHeight="1" x14ac:dyDescent="0.25">
      <c r="C113" s="160"/>
      <c r="D113" s="160"/>
      <c r="E113" s="160"/>
      <c r="F113" s="160"/>
    </row>
    <row r="114" spans="3:6" ht="15" customHeight="1" x14ac:dyDescent="0.25">
      <c r="C114" s="160"/>
      <c r="D114" s="160"/>
      <c r="E114" s="160"/>
      <c r="F114" s="160"/>
    </row>
    <row r="115" spans="3:6" ht="15" customHeight="1" x14ac:dyDescent="0.25">
      <c r="C115" s="160"/>
      <c r="D115" s="160"/>
      <c r="E115" s="160"/>
      <c r="F115" s="160"/>
    </row>
    <row r="116" spans="3:6" ht="15" customHeight="1" x14ac:dyDescent="0.25">
      <c r="C116" s="160"/>
      <c r="D116" s="160"/>
      <c r="E116" s="160"/>
      <c r="F116" s="160"/>
    </row>
    <row r="117" spans="3:6" ht="15" customHeight="1" x14ac:dyDescent="0.25">
      <c r="C117" s="160"/>
      <c r="D117" s="160"/>
      <c r="E117" s="160"/>
      <c r="F117" s="160"/>
    </row>
    <row r="118" spans="3:6" ht="15" customHeight="1" x14ac:dyDescent="0.25">
      <c r="C118" s="160"/>
      <c r="D118" s="160"/>
      <c r="E118" s="160"/>
      <c r="F118" s="160"/>
    </row>
    <row r="119" spans="3:6" ht="15" customHeight="1" x14ac:dyDescent="0.25">
      <c r="C119" s="160"/>
      <c r="D119" s="160"/>
      <c r="E119" s="160"/>
      <c r="F119" s="160"/>
    </row>
    <row r="120" spans="3:6" ht="15" customHeight="1" x14ac:dyDescent="0.25">
      <c r="C120" s="160"/>
      <c r="D120" s="160"/>
      <c r="E120" s="160"/>
      <c r="F120" s="160"/>
    </row>
    <row r="121" spans="3:6" ht="15" customHeight="1" x14ac:dyDescent="0.25">
      <c r="C121" s="160"/>
      <c r="D121" s="160"/>
      <c r="E121" s="160"/>
      <c r="F121" s="160"/>
    </row>
    <row r="122" spans="3:6" ht="15" customHeight="1" x14ac:dyDescent="0.25">
      <c r="C122" s="160"/>
      <c r="D122" s="160"/>
      <c r="E122" s="160"/>
      <c r="F122" s="160"/>
    </row>
    <row r="123" spans="3:6" ht="15" customHeight="1" x14ac:dyDescent="0.25">
      <c r="C123" s="160"/>
      <c r="D123" s="160"/>
      <c r="E123" s="160"/>
      <c r="F123" s="160"/>
    </row>
    <row r="124" spans="3:6" ht="15" customHeight="1" x14ac:dyDescent="0.25">
      <c r="C124" s="160"/>
      <c r="D124" s="160"/>
      <c r="E124" s="160"/>
      <c r="F124" s="160"/>
    </row>
    <row r="125" spans="3:6" ht="15" customHeight="1" x14ac:dyDescent="0.25">
      <c r="C125" s="160"/>
      <c r="D125" s="160"/>
      <c r="E125" s="160"/>
      <c r="F125" s="160"/>
    </row>
    <row r="126" spans="3:6" ht="15" customHeight="1" x14ac:dyDescent="0.25">
      <c r="C126" s="160"/>
      <c r="D126" s="160"/>
      <c r="E126" s="160"/>
      <c r="F126" s="160"/>
    </row>
    <row r="127" spans="3:6" ht="15" customHeight="1" x14ac:dyDescent="0.25">
      <c r="C127" s="160"/>
      <c r="D127" s="160"/>
      <c r="E127" s="160"/>
      <c r="F127" s="160"/>
    </row>
    <row r="128" spans="3:6" ht="15" customHeight="1" x14ac:dyDescent="0.25">
      <c r="C128" s="160"/>
      <c r="D128" s="160"/>
      <c r="E128" s="160"/>
      <c r="F128" s="160"/>
    </row>
    <row r="129" spans="3:6" ht="15" customHeight="1" x14ac:dyDescent="0.25">
      <c r="C129" s="160"/>
      <c r="D129" s="160"/>
      <c r="E129" s="160"/>
      <c r="F129" s="160"/>
    </row>
    <row r="130" spans="3:6" ht="15" customHeight="1" x14ac:dyDescent="0.25">
      <c r="C130" s="160"/>
      <c r="D130" s="160"/>
      <c r="E130" s="160"/>
      <c r="F130" s="160"/>
    </row>
    <row r="131" spans="3:6" ht="15" customHeight="1" x14ac:dyDescent="0.25">
      <c r="C131" s="160"/>
      <c r="D131" s="160"/>
      <c r="E131" s="160"/>
      <c r="F131" s="160"/>
    </row>
    <row r="132" spans="3:6" ht="15" customHeight="1" x14ac:dyDescent="0.25">
      <c r="C132" s="160"/>
      <c r="D132" s="160"/>
      <c r="E132" s="160"/>
      <c r="F132" s="160"/>
    </row>
    <row r="133" spans="3:6" ht="15" customHeight="1" x14ac:dyDescent="0.25">
      <c r="C133" s="160"/>
      <c r="D133" s="160"/>
      <c r="E133" s="160"/>
      <c r="F133" s="160"/>
    </row>
    <row r="134" spans="3:6" ht="15" customHeight="1" x14ac:dyDescent="0.25">
      <c r="C134" s="160"/>
      <c r="D134" s="160"/>
      <c r="E134" s="160"/>
      <c r="F134" s="160"/>
    </row>
    <row r="135" spans="3:6" ht="15" customHeight="1" x14ac:dyDescent="0.25">
      <c r="C135" s="160"/>
      <c r="D135" s="160"/>
      <c r="E135" s="160"/>
      <c r="F135" s="160"/>
    </row>
    <row r="136" spans="3:6" ht="15" customHeight="1" x14ac:dyDescent="0.25">
      <c r="C136" s="160"/>
      <c r="D136" s="160"/>
      <c r="E136" s="160"/>
      <c r="F136" s="160"/>
    </row>
    <row r="137" spans="3:6" ht="15" customHeight="1" x14ac:dyDescent="0.25">
      <c r="C137" s="160"/>
      <c r="D137" s="160"/>
      <c r="E137" s="160"/>
      <c r="F137" s="160"/>
    </row>
    <row r="138" spans="3:6" ht="15" customHeight="1" x14ac:dyDescent="0.25">
      <c r="C138" s="160"/>
      <c r="D138" s="160"/>
      <c r="E138" s="160"/>
      <c r="F138" s="160"/>
    </row>
    <row r="139" spans="3:6" ht="15" customHeight="1" x14ac:dyDescent="0.25">
      <c r="C139" s="160"/>
      <c r="D139" s="160"/>
      <c r="E139" s="160"/>
      <c r="F139" s="160"/>
    </row>
    <row r="140" spans="3:6" ht="15" customHeight="1" x14ac:dyDescent="0.25">
      <c r="C140" s="160"/>
      <c r="D140" s="160"/>
      <c r="E140" s="160"/>
      <c r="F140" s="160"/>
    </row>
    <row r="141" spans="3:6" ht="15" customHeight="1" x14ac:dyDescent="0.25">
      <c r="C141" s="160"/>
      <c r="D141" s="160"/>
      <c r="E141" s="160"/>
      <c r="F141" s="160"/>
    </row>
    <row r="142" spans="3:6" ht="15" customHeight="1" x14ac:dyDescent="0.25">
      <c r="C142" s="160"/>
      <c r="D142" s="160"/>
      <c r="E142" s="160"/>
      <c r="F142" s="160"/>
    </row>
    <row r="143" spans="3:6" ht="15" customHeight="1" x14ac:dyDescent="0.25">
      <c r="C143" s="160"/>
      <c r="D143" s="160"/>
      <c r="E143" s="160"/>
      <c r="F143" s="160"/>
    </row>
    <row r="144" spans="3:6" ht="15" customHeight="1" x14ac:dyDescent="0.25">
      <c r="C144" s="160"/>
      <c r="D144" s="160"/>
      <c r="E144" s="160"/>
      <c r="F144" s="160"/>
    </row>
    <row r="145" spans="3:6" ht="15" customHeight="1" x14ac:dyDescent="0.25">
      <c r="C145" s="160"/>
      <c r="D145" s="160"/>
      <c r="E145" s="160"/>
      <c r="F145" s="160"/>
    </row>
    <row r="146" spans="3:6" ht="15" customHeight="1" x14ac:dyDescent="0.25">
      <c r="C146" s="160"/>
      <c r="D146" s="160"/>
      <c r="E146" s="160"/>
      <c r="F146" s="160"/>
    </row>
    <row r="147" spans="3:6" ht="15" customHeight="1" x14ac:dyDescent="0.25">
      <c r="C147" s="160"/>
      <c r="D147" s="160"/>
      <c r="E147" s="160"/>
      <c r="F147" s="160"/>
    </row>
    <row r="148" spans="3:6" ht="15" customHeight="1" x14ac:dyDescent="0.25">
      <c r="C148" s="160"/>
      <c r="D148" s="160"/>
      <c r="E148" s="160"/>
      <c r="F148" s="160"/>
    </row>
    <row r="149" spans="3:6" ht="15" customHeight="1" x14ac:dyDescent="0.25">
      <c r="C149" s="160"/>
      <c r="D149" s="160"/>
      <c r="E149" s="160"/>
      <c r="F149" s="160"/>
    </row>
    <row r="150" spans="3:6" ht="15" customHeight="1" x14ac:dyDescent="0.25">
      <c r="C150" s="160"/>
      <c r="D150" s="160"/>
      <c r="E150" s="160"/>
      <c r="F150" s="160"/>
    </row>
    <row r="151" spans="3:6" ht="15" customHeight="1" x14ac:dyDescent="0.25">
      <c r="C151" s="160"/>
      <c r="D151" s="160"/>
      <c r="E151" s="160"/>
      <c r="F151" s="160"/>
    </row>
    <row r="152" spans="3:6" ht="15" customHeight="1" x14ac:dyDescent="0.25">
      <c r="C152" s="160"/>
      <c r="D152" s="160"/>
      <c r="E152" s="160"/>
      <c r="F152" s="160"/>
    </row>
    <row r="153" spans="3:6" ht="15" customHeight="1" x14ac:dyDescent="0.25">
      <c r="C153" s="160"/>
      <c r="D153" s="160"/>
      <c r="E153" s="160"/>
      <c r="F153" s="160"/>
    </row>
    <row r="154" spans="3:6" ht="15" customHeight="1" x14ac:dyDescent="0.25">
      <c r="C154" s="160"/>
      <c r="D154" s="160"/>
      <c r="E154" s="160"/>
      <c r="F154" s="160"/>
    </row>
    <row r="155" spans="3:6" ht="15" customHeight="1" x14ac:dyDescent="0.25">
      <c r="C155" s="160"/>
      <c r="D155" s="160"/>
      <c r="E155" s="160"/>
      <c r="F155" s="160"/>
    </row>
    <row r="156" spans="3:6" ht="15" customHeight="1" x14ac:dyDescent="0.25">
      <c r="C156" s="160"/>
      <c r="D156" s="160"/>
      <c r="E156" s="160"/>
      <c r="F156" s="160"/>
    </row>
    <row r="157" spans="3:6" ht="15" customHeight="1" x14ac:dyDescent="0.25">
      <c r="C157" s="160"/>
      <c r="D157" s="160"/>
      <c r="E157" s="160"/>
      <c r="F157" s="160"/>
    </row>
    <row r="158" spans="3:6" ht="15" customHeight="1" x14ac:dyDescent="0.25">
      <c r="C158" s="160"/>
      <c r="D158" s="160"/>
      <c r="E158" s="160"/>
      <c r="F158" s="160"/>
    </row>
    <row r="159" spans="3:6" ht="15" customHeight="1" x14ac:dyDescent="0.25">
      <c r="C159" s="160"/>
      <c r="D159" s="160"/>
      <c r="E159" s="160"/>
      <c r="F159" s="160"/>
    </row>
    <row r="160" spans="3:6" ht="15" customHeight="1" x14ac:dyDescent="0.25">
      <c r="C160" s="160"/>
      <c r="D160" s="160"/>
      <c r="E160" s="160"/>
      <c r="F160" s="160"/>
    </row>
    <row r="161" spans="3:6" ht="15" customHeight="1" x14ac:dyDescent="0.25">
      <c r="C161" s="160"/>
      <c r="D161" s="160"/>
      <c r="E161" s="160"/>
      <c r="F161" s="160"/>
    </row>
    <row r="162" spans="3:6" ht="15" customHeight="1" x14ac:dyDescent="0.25">
      <c r="C162" s="160"/>
      <c r="D162" s="160"/>
      <c r="E162" s="160"/>
      <c r="F162" s="160"/>
    </row>
    <row r="163" spans="3:6" ht="15" customHeight="1" x14ac:dyDescent="0.25">
      <c r="C163" s="160"/>
      <c r="D163" s="160"/>
      <c r="E163" s="160"/>
      <c r="F163" s="160"/>
    </row>
    <row r="164" spans="3:6" ht="15" customHeight="1" x14ac:dyDescent="0.25">
      <c r="C164" s="160"/>
      <c r="D164" s="160"/>
      <c r="E164" s="160"/>
      <c r="F164" s="160"/>
    </row>
    <row r="165" spans="3:6" ht="15" customHeight="1" x14ac:dyDescent="0.25">
      <c r="C165" s="160"/>
      <c r="D165" s="160"/>
      <c r="E165" s="160"/>
      <c r="F165" s="160"/>
    </row>
    <row r="166" spans="3:6" ht="15" customHeight="1" x14ac:dyDescent="0.25">
      <c r="C166" s="160"/>
      <c r="D166" s="160"/>
      <c r="E166" s="160"/>
      <c r="F166" s="160"/>
    </row>
    <row r="167" spans="3:6" ht="15" customHeight="1" x14ac:dyDescent="0.25">
      <c r="C167" s="160"/>
      <c r="D167" s="160"/>
      <c r="E167" s="160"/>
      <c r="F167" s="160"/>
    </row>
    <row r="168" spans="3:6" ht="15" customHeight="1" x14ac:dyDescent="0.25">
      <c r="C168" s="160"/>
      <c r="D168" s="160"/>
      <c r="E168" s="160"/>
      <c r="F168" s="160"/>
    </row>
    <row r="169" spans="3:6" ht="15" customHeight="1" x14ac:dyDescent="0.25">
      <c r="C169" s="160"/>
      <c r="D169" s="160"/>
      <c r="E169" s="160"/>
      <c r="F169" s="160"/>
    </row>
    <row r="170" spans="3:6" ht="15" customHeight="1" x14ac:dyDescent="0.25">
      <c r="C170" s="160"/>
      <c r="D170" s="160"/>
      <c r="E170" s="160"/>
      <c r="F170" s="160"/>
    </row>
    <row r="171" spans="3:6" ht="15" customHeight="1" x14ac:dyDescent="0.25">
      <c r="C171" s="160"/>
      <c r="D171" s="160"/>
      <c r="E171" s="160"/>
      <c r="F171" s="160"/>
    </row>
    <row r="172" spans="3:6" ht="15" customHeight="1" x14ac:dyDescent="0.25">
      <c r="C172" s="160"/>
      <c r="D172" s="160"/>
      <c r="E172" s="160"/>
      <c r="F172" s="160"/>
    </row>
    <row r="173" spans="3:6" ht="15" customHeight="1" x14ac:dyDescent="0.25">
      <c r="C173" s="160"/>
      <c r="D173" s="160"/>
      <c r="E173" s="160"/>
      <c r="F173" s="160"/>
    </row>
    <row r="174" spans="3:6" ht="15" customHeight="1" x14ac:dyDescent="0.25">
      <c r="C174" s="160"/>
      <c r="D174" s="160"/>
      <c r="E174" s="160"/>
      <c r="F174" s="160"/>
    </row>
    <row r="175" spans="3:6" ht="15" customHeight="1" x14ac:dyDescent="0.25">
      <c r="C175" s="160"/>
      <c r="D175" s="160"/>
      <c r="E175" s="160"/>
      <c r="F175" s="160"/>
    </row>
    <row r="176" spans="3:6" ht="15" customHeight="1" x14ac:dyDescent="0.25">
      <c r="C176" s="160"/>
      <c r="D176" s="160"/>
      <c r="E176" s="160"/>
      <c r="F176" s="160"/>
    </row>
    <row r="177" spans="3:6" ht="15" customHeight="1" x14ac:dyDescent="0.25">
      <c r="C177" s="160"/>
      <c r="D177" s="160"/>
      <c r="E177" s="160"/>
      <c r="F177" s="160"/>
    </row>
    <row r="178" spans="3:6" ht="15" customHeight="1" x14ac:dyDescent="0.25">
      <c r="C178" s="160"/>
      <c r="D178" s="160"/>
      <c r="E178" s="160"/>
      <c r="F178" s="160"/>
    </row>
    <row r="179" spans="3:6" ht="15" customHeight="1" x14ac:dyDescent="0.25">
      <c r="C179" s="160"/>
      <c r="D179" s="160"/>
      <c r="E179" s="160"/>
      <c r="F179" s="160"/>
    </row>
    <row r="180" spans="3:6" ht="15" customHeight="1" x14ac:dyDescent="0.25">
      <c r="C180" s="160"/>
      <c r="D180" s="160"/>
      <c r="E180" s="160"/>
      <c r="F180" s="160"/>
    </row>
    <row r="181" spans="3:6" ht="15" customHeight="1" x14ac:dyDescent="0.25">
      <c r="C181" s="160"/>
      <c r="D181" s="160"/>
      <c r="E181" s="160"/>
      <c r="F181" s="160"/>
    </row>
    <row r="182" spans="3:6" ht="15" customHeight="1" x14ac:dyDescent="0.25">
      <c r="C182" s="160"/>
      <c r="D182" s="160"/>
      <c r="E182" s="160"/>
      <c r="F182" s="160"/>
    </row>
    <row r="183" spans="3:6" ht="15" customHeight="1" x14ac:dyDescent="0.25">
      <c r="C183" s="160"/>
      <c r="D183" s="160"/>
      <c r="E183" s="160"/>
      <c r="F183" s="160"/>
    </row>
    <row r="184" spans="3:6" ht="15" customHeight="1" x14ac:dyDescent="0.25">
      <c r="C184" s="160"/>
      <c r="D184" s="160"/>
      <c r="E184" s="160"/>
      <c r="F184" s="160"/>
    </row>
    <row r="185" spans="3:6" ht="15" customHeight="1" x14ac:dyDescent="0.25">
      <c r="C185" s="160"/>
      <c r="D185" s="160"/>
      <c r="E185" s="160"/>
      <c r="F185" s="160"/>
    </row>
    <row r="186" spans="3:6" ht="15" customHeight="1" x14ac:dyDescent="0.25">
      <c r="C186" s="160"/>
      <c r="D186" s="160"/>
      <c r="E186" s="160"/>
      <c r="F186" s="160"/>
    </row>
    <row r="187" spans="3:6" ht="15" customHeight="1" x14ac:dyDescent="0.25">
      <c r="C187" s="160"/>
      <c r="D187" s="160"/>
      <c r="E187" s="160"/>
      <c r="F187" s="160"/>
    </row>
    <row r="188" spans="3:6" ht="15" customHeight="1" x14ac:dyDescent="0.25">
      <c r="C188" s="160"/>
      <c r="D188" s="160"/>
      <c r="E188" s="160"/>
      <c r="F188" s="160"/>
    </row>
    <row r="189" spans="3:6" ht="15" customHeight="1" x14ac:dyDescent="0.25">
      <c r="C189" s="160"/>
      <c r="D189" s="160"/>
      <c r="E189" s="160"/>
      <c r="F189" s="160"/>
    </row>
    <row r="190" spans="3:6" ht="15" customHeight="1" x14ac:dyDescent="0.25">
      <c r="C190" s="160"/>
      <c r="D190" s="160"/>
      <c r="E190" s="160"/>
      <c r="F190" s="160"/>
    </row>
    <row r="191" spans="3:6" ht="15" customHeight="1" x14ac:dyDescent="0.25">
      <c r="C191" s="160"/>
      <c r="D191" s="160"/>
      <c r="E191" s="160"/>
      <c r="F191" s="160"/>
    </row>
    <row r="192" spans="3:6" ht="15" customHeight="1" x14ac:dyDescent="0.25">
      <c r="C192" s="160"/>
      <c r="D192" s="160"/>
      <c r="E192" s="160"/>
      <c r="F192" s="160"/>
    </row>
    <row r="193" spans="3:6" ht="15" customHeight="1" x14ac:dyDescent="0.25">
      <c r="C193" s="160"/>
      <c r="D193" s="160"/>
      <c r="E193" s="160"/>
      <c r="F193" s="160"/>
    </row>
    <row r="194" spans="3:6" ht="15" customHeight="1" x14ac:dyDescent="0.25">
      <c r="C194" s="160"/>
      <c r="D194" s="160"/>
      <c r="E194" s="160"/>
      <c r="F194" s="160"/>
    </row>
    <row r="195" spans="3:6" ht="15" customHeight="1" x14ac:dyDescent="0.25">
      <c r="C195" s="160"/>
      <c r="D195" s="160"/>
      <c r="E195" s="160"/>
      <c r="F195" s="160"/>
    </row>
    <row r="196" spans="3:6" ht="15" customHeight="1" x14ac:dyDescent="0.25">
      <c r="C196" s="160"/>
      <c r="D196" s="160"/>
      <c r="E196" s="160"/>
      <c r="F196" s="160"/>
    </row>
    <row r="197" spans="3:6" ht="15" customHeight="1" x14ac:dyDescent="0.25">
      <c r="C197" s="160"/>
      <c r="D197" s="160"/>
      <c r="E197" s="160"/>
      <c r="F197" s="160"/>
    </row>
    <row r="198" spans="3:6" ht="15" customHeight="1" x14ac:dyDescent="0.25">
      <c r="C198" s="160"/>
      <c r="D198" s="160"/>
      <c r="E198" s="160"/>
      <c r="F198" s="160"/>
    </row>
    <row r="199" spans="3:6" ht="15" customHeight="1" x14ac:dyDescent="0.25">
      <c r="C199" s="160"/>
      <c r="D199" s="160"/>
      <c r="E199" s="160"/>
      <c r="F199" s="160"/>
    </row>
    <row r="200" spans="3:6" ht="15" customHeight="1" x14ac:dyDescent="0.25">
      <c r="C200" s="160"/>
      <c r="D200" s="160"/>
      <c r="E200" s="160"/>
      <c r="F200" s="160"/>
    </row>
    <row r="201" spans="3:6" ht="15" customHeight="1" x14ac:dyDescent="0.25">
      <c r="C201" s="160"/>
      <c r="D201" s="160"/>
      <c r="E201" s="160"/>
      <c r="F201" s="160"/>
    </row>
    <row r="202" spans="3:6" ht="15" customHeight="1" x14ac:dyDescent="0.25">
      <c r="C202" s="160"/>
      <c r="D202" s="160"/>
      <c r="E202" s="160"/>
      <c r="F202" s="160"/>
    </row>
    <row r="203" spans="3:6" ht="15" customHeight="1" x14ac:dyDescent="0.25">
      <c r="C203" s="160"/>
      <c r="D203" s="160"/>
      <c r="E203" s="160"/>
      <c r="F203" s="160"/>
    </row>
    <row r="204" spans="3:6" ht="15" customHeight="1" x14ac:dyDescent="0.25">
      <c r="C204" s="160"/>
      <c r="D204" s="160"/>
      <c r="E204" s="160"/>
      <c r="F204" s="160"/>
    </row>
    <row r="205" spans="3:6" ht="15" customHeight="1" x14ac:dyDescent="0.25">
      <c r="C205" s="160"/>
      <c r="D205" s="160"/>
      <c r="E205" s="160"/>
      <c r="F205" s="160"/>
    </row>
    <row r="206" spans="3:6" ht="15" customHeight="1" x14ac:dyDescent="0.25">
      <c r="C206" s="160"/>
      <c r="D206" s="160"/>
      <c r="E206" s="160"/>
      <c r="F206" s="160"/>
    </row>
    <row r="207" spans="3:6" ht="15" customHeight="1" x14ac:dyDescent="0.25">
      <c r="C207" s="160"/>
      <c r="D207" s="160"/>
      <c r="E207" s="160"/>
      <c r="F207" s="160"/>
    </row>
    <row r="208" spans="3:6" ht="15" customHeight="1" x14ac:dyDescent="0.25">
      <c r="C208" s="160"/>
      <c r="D208" s="160"/>
      <c r="E208" s="160"/>
      <c r="F208" s="160"/>
    </row>
    <row r="209" spans="3:6" ht="15" customHeight="1" x14ac:dyDescent="0.25">
      <c r="C209" s="160"/>
      <c r="D209" s="160"/>
      <c r="E209" s="160"/>
      <c r="F209" s="160"/>
    </row>
    <row r="210" spans="3:6" ht="15" customHeight="1" x14ac:dyDescent="0.25">
      <c r="C210" s="160"/>
      <c r="D210" s="160"/>
      <c r="E210" s="160"/>
      <c r="F210" s="160"/>
    </row>
    <row r="211" spans="3:6" ht="15" customHeight="1" x14ac:dyDescent="0.25">
      <c r="C211" s="160"/>
      <c r="D211" s="160"/>
      <c r="E211" s="160"/>
      <c r="F211" s="160"/>
    </row>
    <row r="212" spans="3:6" ht="15" customHeight="1" x14ac:dyDescent="0.25">
      <c r="C212" s="160"/>
      <c r="D212" s="160"/>
      <c r="E212" s="160"/>
      <c r="F212" s="160"/>
    </row>
    <row r="213" spans="3:6" ht="15" customHeight="1" x14ac:dyDescent="0.25">
      <c r="C213" s="160"/>
      <c r="D213" s="160"/>
      <c r="E213" s="160"/>
      <c r="F213" s="160"/>
    </row>
    <row r="214" spans="3:6" ht="15" customHeight="1" x14ac:dyDescent="0.25">
      <c r="C214" s="160"/>
      <c r="D214" s="160"/>
      <c r="E214" s="160"/>
      <c r="F214" s="160"/>
    </row>
    <row r="215" spans="3:6" ht="15" customHeight="1" x14ac:dyDescent="0.25">
      <c r="C215" s="160"/>
      <c r="D215" s="160"/>
      <c r="E215" s="160"/>
      <c r="F215" s="160"/>
    </row>
    <row r="216" spans="3:6" ht="15" customHeight="1" x14ac:dyDescent="0.25">
      <c r="C216" s="160"/>
      <c r="D216" s="160"/>
      <c r="E216" s="160"/>
      <c r="F216" s="160"/>
    </row>
    <row r="217" spans="3:6" ht="15" customHeight="1" x14ac:dyDescent="0.25">
      <c r="C217" s="160"/>
      <c r="D217" s="160"/>
      <c r="E217" s="160"/>
      <c r="F217" s="160"/>
    </row>
    <row r="218" spans="3:6" ht="15" customHeight="1" x14ac:dyDescent="0.25">
      <c r="C218" s="160"/>
      <c r="D218" s="160"/>
      <c r="E218" s="160"/>
      <c r="F218" s="160"/>
    </row>
    <row r="219" spans="3:6" ht="15" customHeight="1" x14ac:dyDescent="0.25">
      <c r="C219" s="160"/>
      <c r="D219" s="160"/>
      <c r="E219" s="160"/>
      <c r="F219" s="160"/>
    </row>
    <row r="220" spans="3:6" ht="15" customHeight="1" x14ac:dyDescent="0.25">
      <c r="C220" s="160"/>
      <c r="D220" s="160"/>
      <c r="E220" s="160"/>
      <c r="F220" s="160"/>
    </row>
    <row r="221" spans="3:6" ht="15" customHeight="1" x14ac:dyDescent="0.25">
      <c r="C221" s="160"/>
      <c r="D221" s="160"/>
      <c r="E221" s="160"/>
      <c r="F221" s="160"/>
    </row>
    <row r="222" spans="3:6" ht="15" customHeight="1" x14ac:dyDescent="0.25">
      <c r="C222" s="160"/>
      <c r="D222" s="160"/>
      <c r="E222" s="160"/>
      <c r="F222" s="160"/>
    </row>
    <row r="223" spans="3:6" ht="15" customHeight="1" x14ac:dyDescent="0.25">
      <c r="C223" s="160"/>
      <c r="D223" s="160"/>
      <c r="E223" s="160"/>
      <c r="F223" s="160"/>
    </row>
    <row r="224" spans="3:6" ht="15" customHeight="1" x14ac:dyDescent="0.25">
      <c r="C224" s="160"/>
      <c r="D224" s="160"/>
      <c r="E224" s="160"/>
      <c r="F224" s="160"/>
    </row>
    <row r="225" spans="3:6" ht="15" customHeight="1" x14ac:dyDescent="0.25">
      <c r="C225" s="160"/>
      <c r="D225" s="160"/>
      <c r="E225" s="160"/>
      <c r="F225" s="160"/>
    </row>
    <row r="226" spans="3:6" ht="15" customHeight="1" x14ac:dyDescent="0.25">
      <c r="C226" s="160"/>
      <c r="D226" s="160"/>
      <c r="E226" s="160"/>
      <c r="F226" s="160"/>
    </row>
    <row r="227" spans="3:6" ht="15" customHeight="1" x14ac:dyDescent="0.25">
      <c r="C227" s="160"/>
      <c r="D227" s="160"/>
      <c r="E227" s="160"/>
      <c r="F227" s="160"/>
    </row>
    <row r="228" spans="3:6" ht="15" customHeight="1" x14ac:dyDescent="0.25">
      <c r="C228" s="160"/>
      <c r="D228" s="160"/>
      <c r="E228" s="160"/>
      <c r="F228" s="160"/>
    </row>
    <row r="229" spans="3:6" ht="15" customHeight="1" x14ac:dyDescent="0.25">
      <c r="C229" s="160"/>
      <c r="D229" s="160"/>
      <c r="E229" s="160"/>
      <c r="F229" s="160"/>
    </row>
    <row r="230" spans="3:6" ht="15" customHeight="1" x14ac:dyDescent="0.25">
      <c r="C230" s="160"/>
      <c r="D230" s="160"/>
      <c r="E230" s="160"/>
      <c r="F230" s="160"/>
    </row>
    <row r="231" spans="3:6" ht="15" customHeight="1" x14ac:dyDescent="0.25">
      <c r="C231" s="160"/>
      <c r="D231" s="160"/>
      <c r="E231" s="160"/>
      <c r="F231" s="160"/>
    </row>
    <row r="232" spans="3:6" ht="15" customHeight="1" x14ac:dyDescent="0.25">
      <c r="C232" s="160"/>
      <c r="D232" s="160"/>
      <c r="E232" s="160"/>
      <c r="F232" s="160"/>
    </row>
    <row r="233" spans="3:6" ht="15" customHeight="1" x14ac:dyDescent="0.25">
      <c r="C233" s="160"/>
      <c r="D233" s="160"/>
      <c r="E233" s="160"/>
      <c r="F233" s="160"/>
    </row>
    <row r="234" spans="3:6" ht="15" customHeight="1" x14ac:dyDescent="0.25">
      <c r="C234" s="160"/>
      <c r="D234" s="160"/>
      <c r="E234" s="160"/>
      <c r="F234" s="160"/>
    </row>
    <row r="235" spans="3:6" ht="15" customHeight="1" x14ac:dyDescent="0.25">
      <c r="C235" s="160"/>
      <c r="D235" s="160"/>
      <c r="E235" s="160"/>
      <c r="F235" s="160"/>
    </row>
    <row r="236" spans="3:6" ht="15" customHeight="1" x14ac:dyDescent="0.25">
      <c r="C236" s="160"/>
      <c r="D236" s="160"/>
      <c r="E236" s="160"/>
      <c r="F236" s="160"/>
    </row>
    <row r="237" spans="3:6" ht="15" customHeight="1" x14ac:dyDescent="0.25">
      <c r="C237" s="160"/>
      <c r="D237" s="160"/>
      <c r="E237" s="160"/>
      <c r="F237" s="160"/>
    </row>
    <row r="238" spans="3:6" ht="15" customHeight="1" x14ac:dyDescent="0.25">
      <c r="C238" s="160"/>
      <c r="D238" s="160"/>
      <c r="E238" s="160"/>
      <c r="F238" s="160"/>
    </row>
    <row r="239" spans="3:6" ht="15" customHeight="1" x14ac:dyDescent="0.25">
      <c r="C239" s="160"/>
      <c r="D239" s="160"/>
      <c r="E239" s="160"/>
      <c r="F239" s="160"/>
    </row>
    <row r="240" spans="3:6" ht="15" customHeight="1" x14ac:dyDescent="0.25">
      <c r="C240" s="160"/>
      <c r="D240" s="160"/>
      <c r="E240" s="160"/>
      <c r="F240" s="160"/>
    </row>
    <row r="241" spans="3:6" ht="15" customHeight="1" x14ac:dyDescent="0.25">
      <c r="C241" s="160"/>
      <c r="D241" s="160"/>
      <c r="E241" s="160"/>
      <c r="F241" s="160"/>
    </row>
    <row r="242" spans="3:6" ht="15" customHeight="1" x14ac:dyDescent="0.25">
      <c r="C242" s="160"/>
      <c r="D242" s="160"/>
      <c r="E242" s="160"/>
      <c r="F242" s="160"/>
    </row>
    <row r="243" spans="3:6" ht="15" customHeight="1" x14ac:dyDescent="0.25">
      <c r="C243" s="160"/>
      <c r="D243" s="160"/>
      <c r="E243" s="160"/>
      <c r="F243" s="160"/>
    </row>
    <row r="244" spans="3:6" ht="15" customHeight="1" x14ac:dyDescent="0.25">
      <c r="C244" s="160"/>
      <c r="D244" s="160"/>
      <c r="E244" s="160"/>
      <c r="F244" s="160"/>
    </row>
    <row r="245" spans="3:6" ht="15" customHeight="1" x14ac:dyDescent="0.25">
      <c r="C245" s="160"/>
      <c r="D245" s="160"/>
      <c r="E245" s="160"/>
      <c r="F245" s="160"/>
    </row>
    <row r="246" spans="3:6" ht="15" customHeight="1" x14ac:dyDescent="0.25">
      <c r="C246" s="160"/>
      <c r="D246" s="160"/>
      <c r="E246" s="160"/>
      <c r="F246" s="160"/>
    </row>
    <row r="247" spans="3:6" ht="15" customHeight="1" x14ac:dyDescent="0.25">
      <c r="C247" s="160"/>
      <c r="D247" s="160"/>
      <c r="E247" s="160"/>
      <c r="F247" s="160"/>
    </row>
    <row r="248" spans="3:6" ht="15" customHeight="1" x14ac:dyDescent="0.25">
      <c r="C248" s="160"/>
      <c r="D248" s="160"/>
      <c r="E248" s="160"/>
      <c r="F248" s="160"/>
    </row>
    <row r="249" spans="3:6" ht="15" customHeight="1" x14ac:dyDescent="0.25">
      <c r="C249" s="160"/>
      <c r="D249" s="160"/>
      <c r="E249" s="160"/>
      <c r="F249" s="160"/>
    </row>
    <row r="250" spans="3:6" ht="15" customHeight="1" x14ac:dyDescent="0.25">
      <c r="C250" s="160"/>
      <c r="D250" s="160"/>
      <c r="E250" s="160"/>
      <c r="F250" s="160"/>
    </row>
    <row r="251" spans="3:6" ht="15" customHeight="1" x14ac:dyDescent="0.25">
      <c r="C251" s="160"/>
      <c r="D251" s="160"/>
      <c r="E251" s="160"/>
      <c r="F251" s="160"/>
    </row>
    <row r="252" spans="3:6" ht="15" customHeight="1" x14ac:dyDescent="0.25">
      <c r="C252" s="160"/>
      <c r="D252" s="160"/>
      <c r="E252" s="160"/>
      <c r="F252" s="160"/>
    </row>
    <row r="253" spans="3:6" ht="15" customHeight="1" x14ac:dyDescent="0.25">
      <c r="C253" s="160"/>
      <c r="D253" s="160"/>
      <c r="E253" s="160"/>
      <c r="F253" s="160"/>
    </row>
    <row r="254" spans="3:6" ht="15" customHeight="1" x14ac:dyDescent="0.25">
      <c r="C254" s="160"/>
      <c r="D254" s="160"/>
      <c r="E254" s="160"/>
      <c r="F254" s="160"/>
    </row>
    <row r="255" spans="3:6" ht="15" customHeight="1" x14ac:dyDescent="0.25">
      <c r="C255" s="160"/>
      <c r="D255" s="160"/>
      <c r="E255" s="160"/>
      <c r="F255" s="160"/>
    </row>
    <row r="256" spans="3:6" ht="15" customHeight="1" x14ac:dyDescent="0.25">
      <c r="C256" s="160"/>
      <c r="D256" s="160"/>
      <c r="E256" s="160"/>
      <c r="F256" s="160"/>
    </row>
    <row r="257" spans="3:6" ht="15" customHeight="1" x14ac:dyDescent="0.25">
      <c r="C257" s="160"/>
      <c r="D257" s="160"/>
      <c r="E257" s="160"/>
      <c r="F257" s="160"/>
    </row>
    <row r="258" spans="3:6" ht="15" customHeight="1" x14ac:dyDescent="0.25">
      <c r="C258" s="160"/>
      <c r="D258" s="160"/>
      <c r="E258" s="160"/>
      <c r="F258" s="160"/>
    </row>
    <row r="259" spans="3:6" ht="15" customHeight="1" x14ac:dyDescent="0.25">
      <c r="C259" s="160"/>
      <c r="D259" s="160"/>
      <c r="E259" s="160"/>
      <c r="F259" s="160"/>
    </row>
    <row r="260" spans="3:6" ht="15" customHeight="1" x14ac:dyDescent="0.25">
      <c r="C260" s="160"/>
      <c r="D260" s="160"/>
      <c r="E260" s="160"/>
      <c r="F260" s="160"/>
    </row>
    <row r="261" spans="3:6" ht="15" customHeight="1" x14ac:dyDescent="0.25">
      <c r="C261" s="160"/>
      <c r="D261" s="160"/>
      <c r="E261" s="160"/>
      <c r="F261" s="160"/>
    </row>
    <row r="262" spans="3:6" ht="15" customHeight="1" x14ac:dyDescent="0.25">
      <c r="C262" s="160"/>
      <c r="D262" s="160"/>
      <c r="E262" s="160"/>
      <c r="F262" s="160"/>
    </row>
    <row r="263" spans="3:6" ht="15" customHeight="1" x14ac:dyDescent="0.25">
      <c r="C263" s="160"/>
      <c r="D263" s="160"/>
      <c r="E263" s="160"/>
      <c r="F263" s="160"/>
    </row>
    <row r="264" spans="3:6" ht="15" customHeight="1" x14ac:dyDescent="0.25">
      <c r="C264" s="160"/>
      <c r="D264" s="160"/>
      <c r="E264" s="160"/>
      <c r="F264" s="160"/>
    </row>
    <row r="265" spans="3:6" ht="15" customHeight="1" x14ac:dyDescent="0.25">
      <c r="C265" s="160"/>
      <c r="D265" s="160"/>
      <c r="E265" s="160"/>
      <c r="F265" s="160"/>
    </row>
    <row r="266" spans="3:6" ht="15" customHeight="1" x14ac:dyDescent="0.25">
      <c r="C266" s="160"/>
      <c r="D266" s="160"/>
      <c r="E266" s="160"/>
      <c r="F266" s="160"/>
    </row>
    <row r="267" spans="3:6" ht="15" customHeight="1" x14ac:dyDescent="0.25">
      <c r="C267" s="160"/>
      <c r="D267" s="160"/>
      <c r="E267" s="160"/>
      <c r="F267" s="160"/>
    </row>
    <row r="268" spans="3:6" ht="15" customHeight="1" x14ac:dyDescent="0.25">
      <c r="C268" s="160"/>
      <c r="D268" s="160"/>
      <c r="E268" s="160"/>
      <c r="F268" s="160"/>
    </row>
    <row r="269" spans="3:6" ht="15" customHeight="1" x14ac:dyDescent="0.25">
      <c r="C269" s="160"/>
      <c r="D269" s="160"/>
      <c r="E269" s="160"/>
      <c r="F269" s="160"/>
    </row>
    <row r="270" spans="3:6" ht="15" customHeight="1" x14ac:dyDescent="0.25">
      <c r="C270" s="160"/>
      <c r="D270" s="160"/>
      <c r="E270" s="160"/>
      <c r="F270" s="160"/>
    </row>
    <row r="271" spans="3:6" ht="15" customHeight="1" x14ac:dyDescent="0.25">
      <c r="C271" s="160"/>
      <c r="D271" s="160"/>
      <c r="E271" s="160"/>
      <c r="F271" s="160"/>
    </row>
    <row r="272" spans="3:6" ht="15" customHeight="1" x14ac:dyDescent="0.25">
      <c r="C272" s="160"/>
      <c r="D272" s="160"/>
      <c r="E272" s="160"/>
      <c r="F272" s="160"/>
    </row>
    <row r="273" spans="3:6" ht="15" customHeight="1" x14ac:dyDescent="0.25">
      <c r="C273" s="160"/>
      <c r="D273" s="160"/>
      <c r="E273" s="160"/>
      <c r="F273" s="160"/>
    </row>
    <row r="274" spans="3:6" ht="15" customHeight="1" x14ac:dyDescent="0.25">
      <c r="C274" s="160"/>
      <c r="D274" s="160"/>
      <c r="E274" s="160"/>
      <c r="F274" s="160"/>
    </row>
    <row r="275" spans="3:6" ht="15" customHeight="1" x14ac:dyDescent="0.25">
      <c r="C275" s="160"/>
      <c r="D275" s="160"/>
      <c r="E275" s="160"/>
      <c r="F275" s="160"/>
    </row>
    <row r="276" spans="3:6" ht="15" customHeight="1" x14ac:dyDescent="0.25">
      <c r="C276" s="160"/>
      <c r="D276" s="160"/>
      <c r="E276" s="160"/>
      <c r="F276" s="160"/>
    </row>
    <row r="277" spans="3:6" ht="15" customHeight="1" x14ac:dyDescent="0.25">
      <c r="C277" s="160"/>
      <c r="D277" s="160"/>
      <c r="E277" s="160"/>
      <c r="F277" s="160"/>
    </row>
    <row r="278" spans="3:6" ht="15" customHeight="1" x14ac:dyDescent="0.25">
      <c r="C278" s="160"/>
      <c r="D278" s="160"/>
      <c r="E278" s="160"/>
      <c r="F278" s="160"/>
    </row>
    <row r="279" spans="3:6" ht="15" customHeight="1" x14ac:dyDescent="0.25">
      <c r="C279" s="160"/>
      <c r="D279" s="160"/>
      <c r="E279" s="160"/>
      <c r="F279" s="160"/>
    </row>
    <row r="280" spans="3:6" ht="15" customHeight="1" x14ac:dyDescent="0.25">
      <c r="C280" s="160"/>
      <c r="D280" s="160"/>
      <c r="E280" s="160"/>
      <c r="F280" s="160"/>
    </row>
    <row r="281" spans="3:6" ht="15" customHeight="1" x14ac:dyDescent="0.25">
      <c r="C281" s="160"/>
      <c r="D281" s="160"/>
      <c r="E281" s="160"/>
      <c r="F281" s="160"/>
    </row>
    <row r="282" spans="3:6" ht="15" customHeight="1" x14ac:dyDescent="0.25">
      <c r="C282" s="160"/>
      <c r="D282" s="160"/>
      <c r="E282" s="160"/>
      <c r="F282" s="160"/>
    </row>
    <row r="283" spans="3:6" ht="15" customHeight="1" x14ac:dyDescent="0.25">
      <c r="C283" s="160"/>
      <c r="D283" s="160"/>
      <c r="E283" s="160"/>
      <c r="F283" s="160"/>
    </row>
    <row r="284" spans="3:6" ht="15" customHeight="1" x14ac:dyDescent="0.25">
      <c r="C284" s="160"/>
      <c r="D284" s="160"/>
      <c r="E284" s="160"/>
      <c r="F284" s="160"/>
    </row>
    <row r="285" spans="3:6" ht="15" customHeight="1" x14ac:dyDescent="0.25">
      <c r="C285" s="160"/>
      <c r="D285" s="160"/>
      <c r="E285" s="160"/>
      <c r="F285" s="160"/>
    </row>
    <row r="286" spans="3:6" ht="15" customHeight="1" x14ac:dyDescent="0.25">
      <c r="C286" s="160"/>
      <c r="D286" s="160"/>
      <c r="E286" s="160"/>
      <c r="F286" s="160"/>
    </row>
    <row r="287" spans="3:6" ht="15" customHeight="1" x14ac:dyDescent="0.25">
      <c r="C287" s="160"/>
      <c r="D287" s="160"/>
      <c r="E287" s="160"/>
      <c r="F287" s="160"/>
    </row>
    <row r="288" spans="3:6" ht="15" customHeight="1" x14ac:dyDescent="0.25">
      <c r="C288" s="160"/>
      <c r="D288" s="160"/>
      <c r="E288" s="160"/>
      <c r="F288" s="160"/>
    </row>
    <row r="289" spans="3:6" ht="15" customHeight="1" x14ac:dyDescent="0.25">
      <c r="C289" s="160"/>
      <c r="D289" s="160"/>
      <c r="E289" s="160"/>
      <c r="F289" s="160"/>
    </row>
    <row r="290" spans="3:6" ht="15" customHeight="1" x14ac:dyDescent="0.25">
      <c r="C290" s="160"/>
      <c r="D290" s="160"/>
      <c r="E290" s="160"/>
      <c r="F290" s="160"/>
    </row>
    <row r="291" spans="3:6" ht="15" customHeight="1" x14ac:dyDescent="0.25">
      <c r="C291" s="160"/>
      <c r="D291" s="160"/>
      <c r="E291" s="160"/>
      <c r="F291" s="160"/>
    </row>
    <row r="292" spans="3:6" ht="15" customHeight="1" x14ac:dyDescent="0.25">
      <c r="C292" s="160"/>
      <c r="D292" s="160"/>
      <c r="E292" s="160"/>
      <c r="F292" s="160"/>
    </row>
    <row r="293" spans="3:6" ht="15" customHeight="1" x14ac:dyDescent="0.25">
      <c r="C293" s="160"/>
      <c r="D293" s="160"/>
      <c r="E293" s="160"/>
      <c r="F293" s="160"/>
    </row>
    <row r="294" spans="3:6" ht="15" customHeight="1" x14ac:dyDescent="0.25">
      <c r="C294" s="160"/>
      <c r="D294" s="160"/>
      <c r="E294" s="160"/>
      <c r="F294" s="160"/>
    </row>
    <row r="295" spans="3:6" ht="15" customHeight="1" x14ac:dyDescent="0.25">
      <c r="C295" s="160"/>
      <c r="D295" s="160"/>
      <c r="E295" s="160"/>
      <c r="F295" s="160"/>
    </row>
    <row r="296" spans="3:6" ht="15" customHeight="1" x14ac:dyDescent="0.25">
      <c r="C296" s="160"/>
      <c r="D296" s="160"/>
      <c r="E296" s="160"/>
      <c r="F296" s="160"/>
    </row>
    <row r="297" spans="3:6" ht="15" customHeight="1" x14ac:dyDescent="0.25">
      <c r="C297" s="160"/>
      <c r="D297" s="160"/>
      <c r="E297" s="160"/>
      <c r="F297" s="160"/>
    </row>
    <row r="298" spans="3:6" ht="15" customHeight="1" x14ac:dyDescent="0.25">
      <c r="C298" s="160"/>
      <c r="D298" s="160"/>
      <c r="E298" s="160"/>
      <c r="F298" s="160"/>
    </row>
    <row r="299" spans="3:6" ht="15" customHeight="1" x14ac:dyDescent="0.25">
      <c r="C299" s="160"/>
      <c r="D299" s="160"/>
      <c r="E299" s="160"/>
      <c r="F299" s="160"/>
    </row>
    <row r="300" spans="3:6" ht="15" customHeight="1" x14ac:dyDescent="0.25">
      <c r="C300" s="160"/>
      <c r="D300" s="160"/>
      <c r="E300" s="160"/>
      <c r="F300" s="160"/>
    </row>
    <row r="301" spans="3:6" ht="15" customHeight="1" x14ac:dyDescent="0.25">
      <c r="C301" s="160"/>
      <c r="D301" s="160"/>
      <c r="E301" s="160"/>
      <c r="F301" s="160"/>
    </row>
    <row r="302" spans="3:6" ht="15" customHeight="1" x14ac:dyDescent="0.25">
      <c r="C302" s="160"/>
      <c r="D302" s="160"/>
      <c r="E302" s="160"/>
      <c r="F302" s="160"/>
    </row>
    <row r="303" spans="3:6" ht="15" customHeight="1" x14ac:dyDescent="0.25">
      <c r="C303" s="160"/>
      <c r="D303" s="160"/>
      <c r="E303" s="160"/>
      <c r="F303" s="160"/>
    </row>
    <row r="304" spans="3:6" ht="15" customHeight="1" x14ac:dyDescent="0.25">
      <c r="C304" s="160"/>
      <c r="D304" s="160"/>
      <c r="E304" s="160"/>
      <c r="F304" s="160"/>
    </row>
    <row r="305" spans="3:6" ht="15" customHeight="1" x14ac:dyDescent="0.25">
      <c r="C305" s="160"/>
      <c r="D305" s="160"/>
      <c r="E305" s="160"/>
      <c r="F305" s="160"/>
    </row>
    <row r="306" spans="3:6" ht="15" customHeight="1" x14ac:dyDescent="0.25">
      <c r="C306" s="160"/>
      <c r="D306" s="160"/>
      <c r="E306" s="160"/>
      <c r="F306" s="160"/>
    </row>
    <row r="307" spans="3:6" ht="15" customHeight="1" x14ac:dyDescent="0.25">
      <c r="C307" s="160"/>
      <c r="D307" s="160"/>
      <c r="E307" s="160"/>
      <c r="F307" s="160"/>
    </row>
    <row r="308" spans="3:6" ht="15" customHeight="1" x14ac:dyDescent="0.25">
      <c r="C308" s="160"/>
      <c r="D308" s="160"/>
      <c r="E308" s="160"/>
      <c r="F308" s="160"/>
    </row>
    <row r="309" spans="3:6" ht="15" customHeight="1" x14ac:dyDescent="0.25">
      <c r="C309" s="160"/>
      <c r="D309" s="160"/>
      <c r="E309" s="160"/>
      <c r="F309" s="160"/>
    </row>
    <row r="310" spans="3:6" ht="15" customHeight="1" x14ac:dyDescent="0.25">
      <c r="C310" s="160"/>
      <c r="D310" s="160"/>
      <c r="E310" s="160"/>
      <c r="F310" s="160"/>
    </row>
    <row r="311" spans="3:6" ht="15" customHeight="1" x14ac:dyDescent="0.25">
      <c r="C311" s="160"/>
      <c r="D311" s="160"/>
      <c r="E311" s="160"/>
      <c r="F311" s="160"/>
    </row>
    <row r="312" spans="3:6" ht="15" customHeight="1" x14ac:dyDescent="0.25">
      <c r="C312" s="160"/>
      <c r="D312" s="160"/>
      <c r="E312" s="160"/>
      <c r="F312" s="160"/>
    </row>
    <row r="313" spans="3:6" ht="15" customHeight="1" x14ac:dyDescent="0.25">
      <c r="C313" s="160"/>
      <c r="D313" s="160"/>
      <c r="E313" s="160"/>
      <c r="F313" s="160"/>
    </row>
    <row r="314" spans="3:6" ht="15" customHeight="1" x14ac:dyDescent="0.25">
      <c r="C314" s="160"/>
      <c r="D314" s="160"/>
      <c r="E314" s="160"/>
      <c r="F314" s="160"/>
    </row>
    <row r="315" spans="3:6" ht="15" customHeight="1" x14ac:dyDescent="0.25">
      <c r="C315" s="160"/>
      <c r="D315" s="160"/>
      <c r="E315" s="160"/>
      <c r="F315" s="160"/>
    </row>
    <row r="316" spans="3:6" ht="15" customHeight="1" x14ac:dyDescent="0.25">
      <c r="C316" s="160"/>
      <c r="D316" s="160"/>
      <c r="E316" s="160"/>
      <c r="F316" s="160"/>
    </row>
    <row r="317" spans="3:6" ht="15" customHeight="1" x14ac:dyDescent="0.25">
      <c r="C317" s="160"/>
      <c r="D317" s="160"/>
      <c r="E317" s="160"/>
      <c r="F317" s="160"/>
    </row>
    <row r="318" spans="3:6" ht="15" customHeight="1" x14ac:dyDescent="0.25">
      <c r="C318" s="160"/>
      <c r="D318" s="160"/>
      <c r="E318" s="160"/>
      <c r="F318" s="160"/>
    </row>
    <row r="319" spans="3:6" ht="15" customHeight="1" x14ac:dyDescent="0.25">
      <c r="C319" s="160"/>
      <c r="D319" s="160"/>
      <c r="E319" s="160"/>
      <c r="F319" s="160"/>
    </row>
    <row r="320" spans="3:6" ht="15" customHeight="1" x14ac:dyDescent="0.25">
      <c r="C320" s="160"/>
      <c r="D320" s="160"/>
      <c r="E320" s="160"/>
      <c r="F320" s="160"/>
    </row>
    <row r="321" spans="3:6" ht="15" customHeight="1" x14ac:dyDescent="0.25">
      <c r="C321" s="160"/>
      <c r="D321" s="160"/>
      <c r="E321" s="160"/>
      <c r="F321" s="160"/>
    </row>
    <row r="322" spans="3:6" ht="15" customHeight="1" x14ac:dyDescent="0.25">
      <c r="C322" s="160"/>
      <c r="D322" s="160"/>
      <c r="E322" s="160"/>
      <c r="F322" s="160"/>
    </row>
    <row r="323" spans="3:6" ht="15" customHeight="1" x14ac:dyDescent="0.25">
      <c r="C323" s="160"/>
      <c r="D323" s="160"/>
      <c r="E323" s="160"/>
      <c r="F323" s="160"/>
    </row>
    <row r="324" spans="3:6" ht="15" customHeight="1" x14ac:dyDescent="0.25">
      <c r="C324" s="160"/>
      <c r="D324" s="160"/>
      <c r="E324" s="160"/>
      <c r="F324" s="160"/>
    </row>
    <row r="325" spans="3:6" ht="15" customHeight="1" x14ac:dyDescent="0.25">
      <c r="C325" s="160"/>
      <c r="D325" s="160"/>
      <c r="E325" s="160"/>
      <c r="F325" s="160"/>
    </row>
    <row r="326" spans="3:6" ht="15" customHeight="1" x14ac:dyDescent="0.25">
      <c r="C326" s="160"/>
      <c r="D326" s="160"/>
      <c r="E326" s="160"/>
      <c r="F326" s="160"/>
    </row>
    <row r="327" spans="3:6" ht="15" customHeight="1" x14ac:dyDescent="0.25">
      <c r="C327" s="160"/>
      <c r="D327" s="160"/>
      <c r="E327" s="160"/>
      <c r="F327" s="160"/>
    </row>
    <row r="328" spans="3:6" ht="15" customHeight="1" x14ac:dyDescent="0.25">
      <c r="C328" s="160"/>
      <c r="D328" s="160"/>
      <c r="E328" s="160"/>
      <c r="F328" s="160"/>
    </row>
    <row r="329" spans="3:6" ht="15" customHeight="1" x14ac:dyDescent="0.25">
      <c r="C329" s="160"/>
      <c r="D329" s="160"/>
      <c r="E329" s="160"/>
      <c r="F329" s="160"/>
    </row>
    <row r="330" spans="3:6" ht="15" customHeight="1" x14ac:dyDescent="0.25">
      <c r="C330" s="160"/>
      <c r="D330" s="160"/>
      <c r="E330" s="160"/>
      <c r="F330" s="160"/>
    </row>
    <row r="331" spans="3:6" ht="15" customHeight="1" x14ac:dyDescent="0.25">
      <c r="C331" s="160"/>
      <c r="D331" s="160"/>
      <c r="E331" s="160"/>
      <c r="F331" s="160"/>
    </row>
    <row r="332" spans="3:6" ht="15" customHeight="1" x14ac:dyDescent="0.25">
      <c r="C332" s="160"/>
      <c r="D332" s="160"/>
      <c r="E332" s="160"/>
      <c r="F332" s="160"/>
    </row>
    <row r="333" spans="3:6" ht="15" customHeight="1" x14ac:dyDescent="0.25">
      <c r="C333" s="160"/>
      <c r="D333" s="160"/>
      <c r="E333" s="160"/>
      <c r="F333" s="160"/>
    </row>
    <row r="334" spans="3:6" ht="15" customHeight="1" x14ac:dyDescent="0.25">
      <c r="C334" s="160"/>
      <c r="D334" s="160"/>
      <c r="E334" s="160"/>
      <c r="F334" s="160"/>
    </row>
    <row r="335" spans="3:6" ht="15" customHeight="1" x14ac:dyDescent="0.25">
      <c r="C335" s="160"/>
      <c r="D335" s="160"/>
      <c r="E335" s="160"/>
      <c r="F335" s="160"/>
    </row>
    <row r="336" spans="3:6" ht="15" customHeight="1" x14ac:dyDescent="0.25">
      <c r="C336" s="160"/>
      <c r="D336" s="160"/>
      <c r="E336" s="160"/>
      <c r="F336" s="160"/>
    </row>
    <row r="337" spans="3:6" ht="15" customHeight="1" x14ac:dyDescent="0.25">
      <c r="C337" s="160"/>
      <c r="D337" s="160"/>
      <c r="E337" s="160"/>
      <c r="F337" s="160"/>
    </row>
    <row r="338" spans="3:6" ht="15" customHeight="1" x14ac:dyDescent="0.25">
      <c r="C338" s="160"/>
      <c r="D338" s="160"/>
      <c r="E338" s="160"/>
      <c r="F338" s="160"/>
    </row>
    <row r="339" spans="3:6" ht="15" customHeight="1" x14ac:dyDescent="0.25">
      <c r="C339" s="160"/>
      <c r="D339" s="160"/>
      <c r="E339" s="160"/>
      <c r="F339" s="160"/>
    </row>
    <row r="340" spans="3:6" ht="15" customHeight="1" x14ac:dyDescent="0.25">
      <c r="C340" s="160"/>
      <c r="D340" s="160"/>
      <c r="E340" s="160"/>
      <c r="F340" s="160"/>
    </row>
    <row r="341" spans="3:6" ht="15" customHeight="1" x14ac:dyDescent="0.25">
      <c r="C341" s="160"/>
      <c r="D341" s="160"/>
      <c r="E341" s="160"/>
      <c r="F341" s="160"/>
    </row>
    <row r="342" spans="3:6" ht="15" customHeight="1" x14ac:dyDescent="0.25">
      <c r="C342" s="160"/>
      <c r="D342" s="160"/>
      <c r="E342" s="160"/>
      <c r="F342" s="160"/>
    </row>
    <row r="343" spans="3:6" ht="15" customHeight="1" x14ac:dyDescent="0.25">
      <c r="C343" s="160"/>
      <c r="D343" s="160"/>
      <c r="E343" s="160"/>
      <c r="F343" s="160"/>
    </row>
    <row r="344" spans="3:6" ht="15" customHeight="1" x14ac:dyDescent="0.25">
      <c r="C344" s="160"/>
      <c r="D344" s="160"/>
      <c r="E344" s="160"/>
      <c r="F344" s="160"/>
    </row>
    <row r="345" spans="3:6" ht="15" customHeight="1" x14ac:dyDescent="0.25">
      <c r="C345" s="160"/>
      <c r="D345" s="160"/>
      <c r="E345" s="160"/>
      <c r="F345" s="160"/>
    </row>
    <row r="346" spans="3:6" ht="15" customHeight="1" x14ac:dyDescent="0.25">
      <c r="C346" s="160"/>
      <c r="D346" s="160"/>
      <c r="E346" s="160"/>
      <c r="F346" s="160"/>
    </row>
    <row r="347" spans="3:6" ht="15" customHeight="1" x14ac:dyDescent="0.25">
      <c r="C347" s="160"/>
      <c r="D347" s="160"/>
      <c r="E347" s="160"/>
      <c r="F347" s="160"/>
    </row>
    <row r="348" spans="3:6" ht="15" customHeight="1" x14ac:dyDescent="0.25">
      <c r="C348" s="160"/>
      <c r="D348" s="160"/>
      <c r="E348" s="160"/>
      <c r="F348" s="160"/>
    </row>
    <row r="349" spans="3:6" ht="15" customHeight="1" x14ac:dyDescent="0.25">
      <c r="C349" s="160"/>
      <c r="D349" s="160"/>
      <c r="E349" s="160"/>
      <c r="F349" s="160"/>
    </row>
    <row r="350" spans="3:6" ht="15" customHeight="1" x14ac:dyDescent="0.25">
      <c r="C350" s="160"/>
      <c r="D350" s="160"/>
      <c r="E350" s="160"/>
      <c r="F350" s="160"/>
    </row>
    <row r="351" spans="3:6" ht="15" customHeight="1" x14ac:dyDescent="0.25">
      <c r="C351" s="160"/>
      <c r="D351" s="160"/>
      <c r="E351" s="160"/>
      <c r="F351" s="160"/>
    </row>
    <row r="352" spans="3:6" ht="15" customHeight="1" x14ac:dyDescent="0.25">
      <c r="C352" s="160"/>
      <c r="D352" s="160"/>
      <c r="E352" s="160"/>
      <c r="F352" s="160"/>
    </row>
    <row r="353" spans="3:6" ht="15" customHeight="1" x14ac:dyDescent="0.25">
      <c r="C353" s="160"/>
      <c r="D353" s="160"/>
      <c r="E353" s="160"/>
      <c r="F353" s="160"/>
    </row>
    <row r="354" spans="3:6" ht="15" customHeight="1" x14ac:dyDescent="0.25">
      <c r="C354" s="160"/>
      <c r="D354" s="160"/>
      <c r="E354" s="160"/>
      <c r="F354" s="160"/>
    </row>
    <row r="355" spans="3:6" ht="15" customHeight="1" x14ac:dyDescent="0.25">
      <c r="C355" s="160"/>
      <c r="D355" s="160"/>
      <c r="E355" s="160"/>
      <c r="F355" s="160"/>
    </row>
    <row r="356" spans="3:6" ht="15" customHeight="1" x14ac:dyDescent="0.25">
      <c r="C356" s="160"/>
      <c r="D356" s="160"/>
      <c r="E356" s="160"/>
      <c r="F356" s="160"/>
    </row>
    <row r="357" spans="3:6" ht="15" customHeight="1" x14ac:dyDescent="0.25">
      <c r="C357" s="160"/>
      <c r="D357" s="160"/>
      <c r="E357" s="160"/>
      <c r="F357" s="160"/>
    </row>
    <row r="358" spans="3:6" ht="15" customHeight="1" x14ac:dyDescent="0.25">
      <c r="C358" s="160"/>
      <c r="D358" s="160"/>
      <c r="E358" s="160"/>
      <c r="F358" s="160"/>
    </row>
    <row r="359" spans="3:6" ht="15" customHeight="1" x14ac:dyDescent="0.25">
      <c r="C359" s="160"/>
      <c r="D359" s="160"/>
      <c r="E359" s="160"/>
      <c r="F359" s="160"/>
    </row>
    <row r="360" spans="3:6" ht="15" customHeight="1" x14ac:dyDescent="0.25">
      <c r="C360" s="160"/>
      <c r="D360" s="160"/>
      <c r="E360" s="160"/>
      <c r="F360" s="160"/>
    </row>
    <row r="361" spans="3:6" ht="15" customHeight="1" x14ac:dyDescent="0.25">
      <c r="C361" s="160"/>
      <c r="D361" s="160"/>
      <c r="E361" s="160"/>
      <c r="F361" s="160"/>
    </row>
    <row r="362" spans="3:6" ht="15" customHeight="1" x14ac:dyDescent="0.25">
      <c r="C362" s="160"/>
      <c r="D362" s="160"/>
      <c r="E362" s="160"/>
      <c r="F362" s="160"/>
    </row>
    <row r="363" spans="3:6" ht="15" customHeight="1" x14ac:dyDescent="0.25">
      <c r="C363" s="160"/>
      <c r="D363" s="160"/>
      <c r="E363" s="160"/>
      <c r="F363" s="160"/>
    </row>
    <row r="364" spans="3:6" ht="15" customHeight="1" x14ac:dyDescent="0.25">
      <c r="C364" s="160"/>
      <c r="D364" s="160"/>
      <c r="E364" s="160"/>
      <c r="F364" s="160"/>
    </row>
    <row r="365" spans="3:6" ht="15" customHeight="1" x14ac:dyDescent="0.25">
      <c r="C365" s="160"/>
      <c r="D365" s="160"/>
      <c r="E365" s="160"/>
      <c r="F365" s="160"/>
    </row>
    <row r="366" spans="3:6" ht="15" customHeight="1" x14ac:dyDescent="0.25">
      <c r="C366" s="160"/>
      <c r="D366" s="160"/>
      <c r="E366" s="160"/>
      <c r="F366" s="160"/>
    </row>
    <row r="367" spans="3:6" ht="15" customHeight="1" x14ac:dyDescent="0.25">
      <c r="C367" s="160"/>
      <c r="D367" s="160"/>
      <c r="E367" s="160"/>
      <c r="F367" s="160"/>
    </row>
    <row r="368" spans="3:6" ht="15" customHeight="1" x14ac:dyDescent="0.25">
      <c r="C368" s="160"/>
      <c r="D368" s="160"/>
      <c r="E368" s="160"/>
      <c r="F368" s="160"/>
    </row>
    <row r="369" spans="3:6" ht="15" customHeight="1" x14ac:dyDescent="0.25">
      <c r="C369" s="160"/>
      <c r="D369" s="160"/>
      <c r="E369" s="160"/>
      <c r="F369" s="160"/>
    </row>
    <row r="370" spans="3:6" ht="15" customHeight="1" x14ac:dyDescent="0.25">
      <c r="C370" s="160"/>
      <c r="D370" s="160"/>
      <c r="E370" s="160"/>
      <c r="F370" s="160"/>
    </row>
    <row r="371" spans="3:6" ht="15" customHeight="1" x14ac:dyDescent="0.25">
      <c r="C371" s="160"/>
      <c r="D371" s="160"/>
      <c r="E371" s="160"/>
      <c r="F371" s="160"/>
    </row>
    <row r="372" spans="3:6" ht="15" customHeight="1" x14ac:dyDescent="0.25">
      <c r="C372" s="160"/>
      <c r="D372" s="160"/>
      <c r="E372" s="160"/>
      <c r="F372" s="160"/>
    </row>
    <row r="373" spans="3:6" ht="15" customHeight="1" x14ac:dyDescent="0.25">
      <c r="C373" s="160"/>
      <c r="D373" s="160"/>
      <c r="E373" s="160"/>
      <c r="F373" s="160"/>
    </row>
    <row r="374" spans="3:6" ht="15" customHeight="1" x14ac:dyDescent="0.25">
      <c r="C374" s="160"/>
      <c r="D374" s="160"/>
      <c r="E374" s="160"/>
      <c r="F374" s="160"/>
    </row>
    <row r="375" spans="3:6" ht="15" customHeight="1" x14ac:dyDescent="0.25">
      <c r="C375" s="160"/>
      <c r="D375" s="160"/>
      <c r="E375" s="160"/>
      <c r="F375" s="160"/>
    </row>
    <row r="376" spans="3:6" ht="15" customHeight="1" x14ac:dyDescent="0.25">
      <c r="C376" s="160"/>
      <c r="D376" s="160"/>
      <c r="E376" s="160"/>
      <c r="F376" s="160"/>
    </row>
    <row r="377" spans="3:6" ht="15" customHeight="1" x14ac:dyDescent="0.25">
      <c r="C377" s="160"/>
      <c r="D377" s="160"/>
      <c r="E377" s="160"/>
      <c r="F377" s="160"/>
    </row>
    <row r="378" spans="3:6" ht="15" customHeight="1" x14ac:dyDescent="0.25">
      <c r="C378" s="160"/>
      <c r="D378" s="160"/>
      <c r="E378" s="160"/>
      <c r="F378" s="160"/>
    </row>
    <row r="379" spans="3:6" ht="15" customHeight="1" x14ac:dyDescent="0.25">
      <c r="C379" s="160"/>
      <c r="D379" s="160"/>
      <c r="E379" s="160"/>
      <c r="F379" s="160"/>
    </row>
    <row r="380" spans="3:6" ht="15" customHeight="1" x14ac:dyDescent="0.25">
      <c r="C380" s="160"/>
      <c r="D380" s="160"/>
      <c r="E380" s="160"/>
      <c r="F380" s="160"/>
    </row>
    <row r="381" spans="3:6" ht="15" customHeight="1" x14ac:dyDescent="0.25">
      <c r="C381" s="160"/>
      <c r="D381" s="160"/>
      <c r="E381" s="160"/>
      <c r="F381" s="160"/>
    </row>
    <row r="382" spans="3:6" ht="15" customHeight="1" x14ac:dyDescent="0.25">
      <c r="C382" s="160"/>
      <c r="D382" s="160"/>
      <c r="E382" s="160"/>
      <c r="F382" s="160"/>
    </row>
    <row r="383" spans="3:6" ht="15" customHeight="1" x14ac:dyDescent="0.25">
      <c r="C383" s="160"/>
      <c r="D383" s="160"/>
      <c r="E383" s="160"/>
      <c r="F383" s="160"/>
    </row>
    <row r="384" spans="3:6" ht="15" customHeight="1" x14ac:dyDescent="0.25">
      <c r="C384" s="160"/>
      <c r="D384" s="160"/>
      <c r="E384" s="160"/>
      <c r="F384" s="160"/>
    </row>
    <row r="385" spans="3:6" ht="15" customHeight="1" x14ac:dyDescent="0.25">
      <c r="C385" s="160"/>
      <c r="D385" s="160"/>
      <c r="E385" s="160"/>
      <c r="F385" s="160"/>
    </row>
    <row r="386" spans="3:6" ht="15" customHeight="1" x14ac:dyDescent="0.25">
      <c r="C386" s="160"/>
      <c r="D386" s="160"/>
      <c r="E386" s="160"/>
      <c r="F386" s="160"/>
    </row>
    <row r="387" spans="3:6" ht="15" customHeight="1" x14ac:dyDescent="0.25">
      <c r="C387" s="160"/>
      <c r="D387" s="160"/>
      <c r="E387" s="160"/>
      <c r="F387" s="160"/>
    </row>
    <row r="388" spans="3:6" ht="15" customHeight="1" x14ac:dyDescent="0.25">
      <c r="C388" s="160"/>
      <c r="D388" s="160"/>
      <c r="E388" s="160"/>
      <c r="F388" s="160"/>
    </row>
    <row r="389" spans="3:6" ht="15" customHeight="1" x14ac:dyDescent="0.25">
      <c r="C389" s="160"/>
      <c r="D389" s="160"/>
      <c r="E389" s="160"/>
      <c r="F389" s="160"/>
    </row>
    <row r="390" spans="3:6" ht="15" customHeight="1" x14ac:dyDescent="0.25">
      <c r="C390" s="160"/>
      <c r="D390" s="160"/>
      <c r="E390" s="160"/>
      <c r="F390" s="160"/>
    </row>
    <row r="391" spans="3:6" ht="15" customHeight="1" x14ac:dyDescent="0.25">
      <c r="C391" s="160"/>
      <c r="D391" s="160"/>
      <c r="E391" s="160"/>
      <c r="F391" s="160"/>
    </row>
    <row r="392" spans="3:6" ht="15" customHeight="1" x14ac:dyDescent="0.25">
      <c r="C392" s="160"/>
      <c r="D392" s="160"/>
      <c r="E392" s="160"/>
      <c r="F392" s="160"/>
    </row>
    <row r="393" spans="3:6" ht="15" customHeight="1" x14ac:dyDescent="0.25">
      <c r="C393" s="160"/>
      <c r="D393" s="160"/>
      <c r="E393" s="160"/>
      <c r="F393" s="160"/>
    </row>
    <row r="394" spans="3:6" ht="15" customHeight="1" x14ac:dyDescent="0.25">
      <c r="C394" s="160"/>
      <c r="D394" s="160"/>
      <c r="E394" s="160"/>
      <c r="F394" s="160"/>
    </row>
    <row r="395" spans="3:6" ht="15" customHeight="1" x14ac:dyDescent="0.25">
      <c r="C395" s="160"/>
      <c r="D395" s="160"/>
      <c r="E395" s="160"/>
      <c r="F395" s="160"/>
    </row>
    <row r="396" spans="3:6" ht="15" customHeight="1" x14ac:dyDescent="0.25">
      <c r="C396" s="160"/>
      <c r="D396" s="160"/>
      <c r="E396" s="160"/>
      <c r="F396" s="160"/>
    </row>
    <row r="397" spans="3:6" ht="15" customHeight="1" x14ac:dyDescent="0.25">
      <c r="C397" s="160"/>
      <c r="D397" s="160"/>
      <c r="E397" s="160"/>
      <c r="F397" s="160"/>
    </row>
    <row r="398" spans="3:6" ht="15" customHeight="1" x14ac:dyDescent="0.25">
      <c r="C398" s="160"/>
      <c r="D398" s="160"/>
      <c r="E398" s="160"/>
      <c r="F398" s="160"/>
    </row>
    <row r="399" spans="3:6" ht="15" customHeight="1" x14ac:dyDescent="0.25">
      <c r="C399" s="160"/>
      <c r="D399" s="160"/>
      <c r="E399" s="160"/>
      <c r="F399" s="160"/>
    </row>
    <row r="400" spans="3:6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160"/>
    </row>
    <row r="885" spans="3:6" ht="15" customHeight="1" x14ac:dyDescent="0.25">
      <c r="C885" s="160"/>
      <c r="D885" s="160"/>
      <c r="E885" s="160"/>
      <c r="F885" s="160"/>
    </row>
    <row r="886" spans="3:6" ht="15" customHeight="1" x14ac:dyDescent="0.25">
      <c r="C886" s="160"/>
      <c r="D886" s="160"/>
      <c r="E886" s="160"/>
      <c r="F886" s="160"/>
    </row>
    <row r="887" spans="3:6" ht="15" customHeight="1" x14ac:dyDescent="0.25">
      <c r="C887" s="160"/>
      <c r="D887" s="160"/>
      <c r="E887" s="160"/>
      <c r="F887" s="160"/>
    </row>
    <row r="888" spans="3:6" ht="15" customHeight="1" x14ac:dyDescent="0.25">
      <c r="C888" s="160"/>
      <c r="D888" s="160"/>
      <c r="E888" s="160"/>
      <c r="F888" s="160"/>
    </row>
    <row r="889" spans="3:6" ht="15" customHeight="1" x14ac:dyDescent="0.25">
      <c r="C889" s="160"/>
      <c r="D889" s="160"/>
      <c r="E889" s="160"/>
      <c r="F889" s="160"/>
    </row>
    <row r="890" spans="3:6" ht="15" customHeight="1" x14ac:dyDescent="0.25">
      <c r="C890" s="160"/>
      <c r="D890" s="160"/>
      <c r="E890" s="160"/>
      <c r="F890" s="160"/>
    </row>
    <row r="891" spans="3:6" ht="15" customHeight="1" x14ac:dyDescent="0.25">
      <c r="C891" s="160"/>
      <c r="D891" s="160"/>
      <c r="E891" s="160"/>
      <c r="F891" s="160"/>
    </row>
    <row r="892" spans="3:6" ht="15" customHeight="1" x14ac:dyDescent="0.25">
      <c r="C892" s="160"/>
      <c r="D892" s="160"/>
      <c r="E892" s="160"/>
      <c r="F892" s="160"/>
    </row>
    <row r="893" spans="3:6" ht="15" customHeight="1" x14ac:dyDescent="0.25">
      <c r="C893" s="160"/>
      <c r="D893" s="160"/>
      <c r="E893" s="160"/>
      <c r="F893" s="160"/>
    </row>
    <row r="894" spans="3:6" ht="15" customHeight="1" x14ac:dyDescent="0.25">
      <c r="C894" s="160"/>
      <c r="D894" s="160"/>
      <c r="E894" s="160"/>
      <c r="F894" s="160"/>
    </row>
    <row r="895" spans="3:6" ht="15" customHeight="1" x14ac:dyDescent="0.25">
      <c r="C895" s="160"/>
      <c r="D895" s="160"/>
      <c r="E895" s="160"/>
      <c r="F895" s="160"/>
    </row>
    <row r="896" spans="3:6" ht="15" customHeight="1" x14ac:dyDescent="0.25">
      <c r="C896" s="160"/>
      <c r="D896" s="160"/>
      <c r="E896" s="160"/>
      <c r="F896" s="160"/>
    </row>
    <row r="897" spans="3:6" ht="15" customHeight="1" x14ac:dyDescent="0.25">
      <c r="C897" s="160"/>
      <c r="D897" s="160"/>
      <c r="E897" s="160"/>
      <c r="F897" s="160"/>
    </row>
    <row r="898" spans="3:6" ht="15" customHeight="1" x14ac:dyDescent="0.25">
      <c r="C898" s="160"/>
      <c r="D898" s="160"/>
      <c r="E898" s="160"/>
      <c r="F898" s="160"/>
    </row>
    <row r="899" spans="3:6" ht="15" customHeight="1" x14ac:dyDescent="0.25">
      <c r="C899" s="160"/>
      <c r="D899" s="160"/>
      <c r="E899" s="160"/>
      <c r="F899" s="160"/>
    </row>
    <row r="900" spans="3:6" ht="15" customHeight="1" x14ac:dyDescent="0.25">
      <c r="C900" s="160"/>
      <c r="D900" s="160"/>
      <c r="E900" s="160"/>
      <c r="F900" s="160"/>
    </row>
    <row r="901" spans="3:6" ht="15" customHeight="1" x14ac:dyDescent="0.25">
      <c r="C901" s="160"/>
      <c r="D901" s="160"/>
      <c r="E901" s="160"/>
      <c r="F901" s="160"/>
    </row>
    <row r="902" spans="3:6" ht="15" customHeight="1" x14ac:dyDescent="0.25">
      <c r="C902" s="160"/>
      <c r="D902" s="160"/>
      <c r="E902" s="160"/>
      <c r="F902" s="160"/>
    </row>
    <row r="903" spans="3:6" ht="15" customHeight="1" x14ac:dyDescent="0.25">
      <c r="C903" s="160"/>
      <c r="D903" s="160"/>
      <c r="E903" s="160"/>
      <c r="F903" s="160"/>
    </row>
    <row r="904" spans="3:6" ht="15" customHeight="1" x14ac:dyDescent="0.25">
      <c r="C904" s="160"/>
      <c r="D904" s="160"/>
      <c r="E904" s="160"/>
      <c r="F904" s="160"/>
    </row>
    <row r="905" spans="3:6" ht="15" customHeight="1" x14ac:dyDescent="0.25">
      <c r="C905" s="160"/>
      <c r="D905" s="160"/>
      <c r="E905" s="160"/>
      <c r="F905" s="160"/>
    </row>
    <row r="906" spans="3:6" ht="15" customHeight="1" x14ac:dyDescent="0.25">
      <c r="C906" s="160"/>
      <c r="D906" s="160"/>
      <c r="E906" s="160"/>
      <c r="F906" s="160"/>
    </row>
    <row r="907" spans="3:6" ht="15" customHeight="1" x14ac:dyDescent="0.25">
      <c r="C907" s="160"/>
      <c r="D907" s="160"/>
      <c r="E907" s="160"/>
      <c r="F907" s="160"/>
    </row>
    <row r="908" spans="3:6" ht="15" customHeight="1" x14ac:dyDescent="0.25">
      <c r="C908" s="160"/>
      <c r="D908" s="160"/>
      <c r="E908" s="160"/>
      <c r="F908" s="160"/>
    </row>
    <row r="909" spans="3:6" ht="15" customHeight="1" x14ac:dyDescent="0.25">
      <c r="C909" s="160"/>
      <c r="D909" s="160"/>
      <c r="E909" s="160"/>
      <c r="F909" s="160"/>
    </row>
    <row r="910" spans="3:6" ht="15" customHeight="1" x14ac:dyDescent="0.25">
      <c r="C910" s="160"/>
      <c r="D910" s="160"/>
      <c r="E910" s="160"/>
      <c r="F910" s="160"/>
    </row>
    <row r="911" spans="3:6" ht="15" customHeight="1" x14ac:dyDescent="0.25">
      <c r="C911" s="160"/>
      <c r="D911" s="160"/>
      <c r="E911" s="160"/>
      <c r="F911" s="160"/>
    </row>
    <row r="912" spans="3:6" ht="15" customHeight="1" x14ac:dyDescent="0.25">
      <c r="C912" s="160"/>
      <c r="D912" s="160"/>
      <c r="E912" s="160"/>
      <c r="F912" s="160"/>
    </row>
    <row r="913" spans="3:6" ht="15" customHeight="1" x14ac:dyDescent="0.25">
      <c r="C913" s="160"/>
      <c r="D913" s="160"/>
      <c r="E913" s="160"/>
      <c r="F913" s="160"/>
    </row>
    <row r="914" spans="3:6" ht="15" customHeight="1" x14ac:dyDescent="0.25">
      <c r="C914" s="160"/>
      <c r="D914" s="160"/>
      <c r="E914" s="160"/>
      <c r="F914" s="160"/>
    </row>
    <row r="915" spans="3:6" ht="15" customHeight="1" x14ac:dyDescent="0.25">
      <c r="C915" s="160"/>
      <c r="D915" s="160"/>
      <c r="E915" s="160"/>
      <c r="F915" s="160"/>
    </row>
    <row r="916" spans="3:6" ht="15" customHeight="1" x14ac:dyDescent="0.25">
      <c r="C916" s="160"/>
      <c r="D916" s="160"/>
      <c r="E916" s="160"/>
      <c r="F916" s="160"/>
    </row>
    <row r="917" spans="3:6" ht="15" customHeight="1" x14ac:dyDescent="0.25">
      <c r="C917" s="160"/>
      <c r="D917" s="160"/>
      <c r="E917" s="160"/>
      <c r="F917" s="160"/>
    </row>
    <row r="918" spans="3:6" ht="15" customHeight="1" x14ac:dyDescent="0.25">
      <c r="C918" s="160"/>
      <c r="D918" s="160"/>
      <c r="E918" s="160"/>
      <c r="F918" s="160"/>
    </row>
    <row r="919" spans="3:6" ht="15" customHeight="1" x14ac:dyDescent="0.25">
      <c r="C919" s="160"/>
      <c r="D919" s="160"/>
      <c r="E919" s="160"/>
      <c r="F919" s="160"/>
    </row>
    <row r="920" spans="3:6" ht="15" customHeight="1" x14ac:dyDescent="0.25">
      <c r="C920" s="160"/>
      <c r="D920" s="160"/>
      <c r="E920" s="160"/>
      <c r="F920" s="160"/>
    </row>
    <row r="921" spans="3:6" ht="15" customHeight="1" x14ac:dyDescent="0.25">
      <c r="C921" s="160"/>
      <c r="D921" s="160"/>
      <c r="E921" s="160"/>
      <c r="F921" s="160"/>
    </row>
    <row r="922" spans="3:6" ht="15" customHeight="1" x14ac:dyDescent="0.25">
      <c r="C922" s="160"/>
      <c r="D922" s="160"/>
      <c r="E922" s="160"/>
      <c r="F922" s="160"/>
    </row>
    <row r="923" spans="3:6" ht="15" customHeight="1" x14ac:dyDescent="0.25">
      <c r="C923" s="160"/>
      <c r="D923" s="160"/>
      <c r="E923" s="160"/>
      <c r="F923" s="160"/>
    </row>
    <row r="924" spans="3:6" ht="15" customHeight="1" x14ac:dyDescent="0.25">
      <c r="C924" s="160"/>
      <c r="D924" s="160"/>
      <c r="E924" s="160"/>
      <c r="F924" s="160"/>
    </row>
    <row r="925" spans="3:6" ht="15" customHeight="1" x14ac:dyDescent="0.25">
      <c r="C925" s="160"/>
      <c r="D925" s="160"/>
      <c r="E925" s="160"/>
      <c r="F925" s="160"/>
    </row>
    <row r="926" spans="3:6" ht="15" customHeight="1" x14ac:dyDescent="0.25">
      <c r="C926" s="160"/>
      <c r="D926" s="160"/>
      <c r="E926" s="160"/>
      <c r="F926" s="160"/>
    </row>
    <row r="927" spans="3:6" ht="15" customHeight="1" x14ac:dyDescent="0.25">
      <c r="C927" s="160"/>
      <c r="D927" s="160"/>
      <c r="E927" s="160"/>
      <c r="F927" s="160"/>
    </row>
    <row r="928" spans="3:6" ht="15" customHeight="1" x14ac:dyDescent="0.25">
      <c r="C928" s="160"/>
      <c r="D928" s="160"/>
      <c r="E928" s="160"/>
      <c r="F928" s="160"/>
    </row>
    <row r="929" spans="3:6" ht="15" customHeight="1" x14ac:dyDescent="0.25">
      <c r="C929" s="160"/>
      <c r="D929" s="160"/>
      <c r="E929" s="160"/>
      <c r="F929" s="160"/>
    </row>
    <row r="930" spans="3:6" ht="15" customHeight="1" x14ac:dyDescent="0.25">
      <c r="C930" s="160"/>
      <c r="D930" s="160"/>
      <c r="E930" s="160"/>
      <c r="F930" s="160"/>
    </row>
    <row r="931" spans="3:6" ht="15" customHeight="1" x14ac:dyDescent="0.25">
      <c r="C931" s="160"/>
      <c r="D931" s="160"/>
      <c r="E931" s="160"/>
      <c r="F931" s="160"/>
    </row>
    <row r="932" spans="3:6" ht="15" customHeight="1" x14ac:dyDescent="0.25">
      <c r="C932" s="160"/>
      <c r="D932" s="160"/>
      <c r="E932" s="160"/>
      <c r="F932" s="160"/>
    </row>
    <row r="933" spans="3:6" ht="15" customHeight="1" x14ac:dyDescent="0.25">
      <c r="C933" s="160"/>
      <c r="D933" s="160"/>
      <c r="E933" s="160"/>
      <c r="F933" s="160"/>
    </row>
    <row r="934" spans="3:6" ht="15" customHeight="1" x14ac:dyDescent="0.25">
      <c r="C934" s="160"/>
      <c r="D934" s="160"/>
      <c r="E934" s="160"/>
      <c r="F934" s="160"/>
    </row>
    <row r="935" spans="3:6" ht="15" customHeight="1" x14ac:dyDescent="0.25">
      <c r="C935" s="160"/>
      <c r="D935" s="160"/>
      <c r="E935" s="160"/>
      <c r="F935" s="160"/>
    </row>
    <row r="936" spans="3:6" ht="15" customHeight="1" x14ac:dyDescent="0.25">
      <c r="C936" s="160"/>
      <c r="D936" s="160"/>
      <c r="E936" s="160"/>
      <c r="F936" s="160"/>
    </row>
    <row r="937" spans="3:6" ht="15" customHeight="1" x14ac:dyDescent="0.25">
      <c r="C937" s="160"/>
      <c r="D937" s="160"/>
      <c r="E937" s="160"/>
      <c r="F937" s="160"/>
    </row>
    <row r="938" spans="3:6" ht="15" customHeight="1" x14ac:dyDescent="0.25">
      <c r="C938" s="160"/>
      <c r="D938" s="160"/>
      <c r="E938" s="160"/>
      <c r="F938" s="160"/>
    </row>
    <row r="939" spans="3:6" ht="15" customHeight="1" x14ac:dyDescent="0.25">
      <c r="C939" s="160"/>
      <c r="D939" s="160"/>
      <c r="E939" s="160"/>
      <c r="F939" s="160"/>
    </row>
    <row r="940" spans="3:6" ht="15" customHeight="1" x14ac:dyDescent="0.25">
      <c r="C940" s="160"/>
      <c r="D940" s="160"/>
      <c r="E940" s="160"/>
      <c r="F940" s="160"/>
    </row>
    <row r="941" spans="3:6" ht="15" customHeight="1" x14ac:dyDescent="0.25">
      <c r="C941" s="160"/>
      <c r="D941" s="160"/>
      <c r="E941" s="160"/>
      <c r="F941" s="160"/>
    </row>
    <row r="942" spans="3:6" ht="15" customHeight="1" x14ac:dyDescent="0.25">
      <c r="C942" s="160"/>
      <c r="D942" s="160"/>
      <c r="E942" s="160"/>
      <c r="F942" s="160"/>
    </row>
    <row r="943" spans="3:6" ht="15" customHeight="1" x14ac:dyDescent="0.25">
      <c r="C943" s="160"/>
      <c r="D943" s="160"/>
      <c r="E943" s="160"/>
      <c r="F943" s="160"/>
    </row>
    <row r="944" spans="3:6" ht="15" customHeight="1" x14ac:dyDescent="0.25">
      <c r="C944" s="160"/>
      <c r="D944" s="160"/>
      <c r="E944" s="160"/>
      <c r="F944" s="160"/>
    </row>
    <row r="945" spans="3:6" ht="15" customHeight="1" x14ac:dyDescent="0.25">
      <c r="C945" s="160"/>
      <c r="D945" s="160"/>
      <c r="E945" s="160"/>
      <c r="F945" s="160"/>
    </row>
    <row r="946" spans="3:6" ht="15" customHeight="1" x14ac:dyDescent="0.25">
      <c r="C946" s="160"/>
      <c r="D946" s="160"/>
      <c r="E946" s="160"/>
      <c r="F946" s="160"/>
    </row>
    <row r="947" spans="3:6" ht="15" customHeight="1" x14ac:dyDescent="0.25">
      <c r="C947" s="160"/>
      <c r="D947" s="160"/>
      <c r="E947" s="160"/>
      <c r="F947" s="160"/>
    </row>
    <row r="948" spans="3:6" ht="15" customHeight="1" x14ac:dyDescent="0.25">
      <c r="C948" s="160"/>
      <c r="D948" s="160"/>
      <c r="E948" s="160"/>
      <c r="F948" s="160"/>
    </row>
    <row r="949" spans="3:6" ht="15" customHeight="1" x14ac:dyDescent="0.25">
      <c r="C949" s="160"/>
      <c r="D949" s="160"/>
      <c r="E949" s="160"/>
      <c r="F949" s="160"/>
    </row>
    <row r="950" spans="3:6" ht="15" customHeight="1" x14ac:dyDescent="0.25">
      <c r="C950" s="160"/>
      <c r="D950" s="160"/>
      <c r="E950" s="160"/>
      <c r="F950" s="160"/>
    </row>
    <row r="951" spans="3:6" ht="15" customHeight="1" x14ac:dyDescent="0.25">
      <c r="C951" s="160"/>
      <c r="D951" s="160"/>
      <c r="E951" s="160"/>
      <c r="F951" s="160"/>
    </row>
    <row r="952" spans="3:6" ht="15" customHeight="1" x14ac:dyDescent="0.25">
      <c r="C952" s="160"/>
      <c r="D952" s="160"/>
      <c r="E952" s="160"/>
      <c r="F952" s="160"/>
    </row>
    <row r="953" spans="3:6" ht="15" customHeight="1" x14ac:dyDescent="0.25">
      <c r="C953" s="160"/>
      <c r="D953" s="160"/>
      <c r="E953" s="160"/>
      <c r="F953" s="160"/>
    </row>
    <row r="954" spans="3:6" ht="15" customHeight="1" x14ac:dyDescent="0.25">
      <c r="C954" s="160"/>
      <c r="D954" s="160"/>
      <c r="E954" s="160"/>
      <c r="F954" s="160"/>
    </row>
    <row r="955" spans="3:6" ht="15" customHeight="1" x14ac:dyDescent="0.25">
      <c r="C955" s="160"/>
      <c r="D955" s="160"/>
      <c r="E955" s="160"/>
      <c r="F955" s="160"/>
    </row>
    <row r="956" spans="3:6" ht="15" customHeight="1" x14ac:dyDescent="0.25">
      <c r="C956" s="160"/>
      <c r="D956" s="160"/>
      <c r="E956" s="160"/>
      <c r="F956" s="160"/>
    </row>
    <row r="957" spans="3:6" ht="15" customHeight="1" x14ac:dyDescent="0.25">
      <c r="C957" s="160"/>
      <c r="D957" s="160"/>
      <c r="E957" s="160"/>
      <c r="F957" s="160"/>
    </row>
    <row r="958" spans="3:6" ht="15" customHeight="1" x14ac:dyDescent="0.25">
      <c r="C958" s="160"/>
      <c r="D958" s="160"/>
      <c r="E958" s="160"/>
      <c r="F958" s="160"/>
    </row>
    <row r="959" spans="3:6" ht="15" customHeight="1" x14ac:dyDescent="0.25">
      <c r="C959" s="160"/>
      <c r="D959" s="160"/>
      <c r="E959" s="160"/>
      <c r="F959" s="160"/>
    </row>
    <row r="960" spans="3:6" ht="15" customHeight="1" x14ac:dyDescent="0.25">
      <c r="C960" s="160"/>
      <c r="D960" s="160"/>
      <c r="E960" s="160"/>
      <c r="F960" s="160"/>
    </row>
    <row r="961" spans="3:6" ht="15" customHeight="1" x14ac:dyDescent="0.25">
      <c r="C961" s="160"/>
      <c r="D961" s="160"/>
      <c r="E961" s="160"/>
      <c r="F961" s="160"/>
    </row>
    <row r="962" spans="3:6" ht="15" customHeight="1" x14ac:dyDescent="0.25">
      <c r="C962" s="160"/>
      <c r="D962" s="160"/>
      <c r="E962" s="160"/>
      <c r="F962" s="160"/>
    </row>
    <row r="963" spans="3:6" ht="15" customHeight="1" x14ac:dyDescent="0.25">
      <c r="C963" s="160"/>
      <c r="D963" s="160"/>
      <c r="E963" s="160"/>
      <c r="F963" s="160"/>
    </row>
    <row r="964" spans="3:6" ht="15" customHeight="1" x14ac:dyDescent="0.25">
      <c r="C964" s="160"/>
      <c r="D964" s="160"/>
      <c r="E964" s="160"/>
      <c r="F964" s="160"/>
    </row>
    <row r="965" spans="3:6" ht="15" customHeight="1" x14ac:dyDescent="0.25">
      <c r="C965" s="160"/>
      <c r="D965" s="160"/>
      <c r="E965" s="160"/>
      <c r="F965" s="160"/>
    </row>
    <row r="966" spans="3:6" ht="15" customHeight="1" x14ac:dyDescent="0.25">
      <c r="C966" s="160"/>
      <c r="D966" s="160"/>
      <c r="E966" s="160"/>
      <c r="F966" s="160"/>
    </row>
    <row r="967" spans="3:6" ht="15" customHeight="1" x14ac:dyDescent="0.25">
      <c r="C967" s="160"/>
      <c r="D967" s="160"/>
      <c r="E967" s="160"/>
      <c r="F967" s="160"/>
    </row>
    <row r="968" spans="3:6" ht="15" customHeight="1" x14ac:dyDescent="0.25">
      <c r="C968" s="160"/>
      <c r="D968" s="160"/>
      <c r="E968" s="160"/>
      <c r="F968" s="160"/>
    </row>
    <row r="969" spans="3:6" ht="15" customHeight="1" x14ac:dyDescent="0.25">
      <c r="C969" s="160"/>
      <c r="D969" s="160"/>
      <c r="E969" s="160"/>
      <c r="F969" s="160"/>
    </row>
    <row r="970" spans="3:6" ht="15" customHeight="1" x14ac:dyDescent="0.25">
      <c r="C970" s="160"/>
      <c r="D970" s="160"/>
      <c r="E970" s="160"/>
      <c r="F970" s="160"/>
    </row>
    <row r="971" spans="3:6" ht="15" customHeight="1" x14ac:dyDescent="0.25">
      <c r="C971" s="160"/>
      <c r="D971" s="160"/>
      <c r="E971" s="160"/>
      <c r="F971" s="160"/>
    </row>
    <row r="972" spans="3:6" ht="15" customHeight="1" x14ac:dyDescent="0.25">
      <c r="C972" s="160"/>
      <c r="D972" s="160"/>
      <c r="E972" s="160"/>
      <c r="F972" s="160"/>
    </row>
    <row r="973" spans="3:6" ht="15" customHeight="1" x14ac:dyDescent="0.25">
      <c r="C973" s="160"/>
      <c r="D973" s="160"/>
      <c r="E973" s="160"/>
      <c r="F973" s="160"/>
    </row>
    <row r="974" spans="3:6" ht="15" customHeight="1" x14ac:dyDescent="0.25">
      <c r="C974" s="160"/>
      <c r="D974" s="160"/>
      <c r="E974" s="160"/>
      <c r="F974" s="160"/>
    </row>
    <row r="975" spans="3:6" ht="15" customHeight="1" x14ac:dyDescent="0.25">
      <c r="C975" s="160"/>
      <c r="D975" s="160"/>
      <c r="E975" s="160"/>
      <c r="F975" s="160"/>
    </row>
    <row r="976" spans="3:6" ht="15" customHeight="1" x14ac:dyDescent="0.25">
      <c r="C976" s="160"/>
      <c r="D976" s="160"/>
      <c r="E976" s="160"/>
      <c r="F976" s="160"/>
    </row>
    <row r="977" spans="3:6" ht="15" customHeight="1" x14ac:dyDescent="0.25">
      <c r="C977" s="160"/>
      <c r="D977" s="160"/>
      <c r="E977" s="160"/>
      <c r="F977" s="160"/>
    </row>
    <row r="978" spans="3:6" ht="15" customHeight="1" x14ac:dyDescent="0.25">
      <c r="C978" s="160"/>
      <c r="D978" s="160"/>
      <c r="E978" s="160"/>
      <c r="F978" s="160"/>
    </row>
    <row r="979" spans="3:6" ht="15" customHeight="1" x14ac:dyDescent="0.25">
      <c r="C979" s="160"/>
      <c r="D979" s="160"/>
      <c r="E979" s="160"/>
      <c r="F979" s="160"/>
    </row>
    <row r="980" spans="3:6" ht="15" customHeight="1" x14ac:dyDescent="0.25">
      <c r="C980" s="160"/>
      <c r="D980" s="160"/>
      <c r="E980" s="160"/>
      <c r="F980" s="160"/>
    </row>
    <row r="981" spans="3:6" ht="15" customHeight="1" x14ac:dyDescent="0.25">
      <c r="C981" s="160"/>
      <c r="D981" s="160"/>
      <c r="E981" s="160"/>
      <c r="F981" s="160"/>
    </row>
    <row r="982" spans="3:6" ht="15" customHeight="1" x14ac:dyDescent="0.25">
      <c r="C982" s="160"/>
      <c r="D982" s="160"/>
      <c r="E982" s="160"/>
      <c r="F982" s="160"/>
    </row>
    <row r="983" spans="3:6" ht="15" customHeight="1" x14ac:dyDescent="0.25">
      <c r="C983" s="160"/>
      <c r="D983" s="160"/>
      <c r="E983" s="160"/>
      <c r="F983" s="160"/>
    </row>
    <row r="984" spans="3:6" ht="15" customHeight="1" x14ac:dyDescent="0.25">
      <c r="C984" s="160"/>
      <c r="D984" s="160"/>
      <c r="E984" s="160"/>
      <c r="F984" s="160"/>
    </row>
    <row r="985" spans="3:6" ht="15" customHeight="1" x14ac:dyDescent="0.25">
      <c r="C985" s="160"/>
      <c r="D985" s="160"/>
      <c r="E985" s="160"/>
      <c r="F985" s="160"/>
    </row>
    <row r="986" spans="3:6" ht="15" customHeight="1" x14ac:dyDescent="0.25">
      <c r="C986" s="160"/>
      <c r="D986" s="160"/>
      <c r="E986" s="160"/>
      <c r="F986" s="160"/>
    </row>
    <row r="987" spans="3:6" ht="15" customHeight="1" x14ac:dyDescent="0.25">
      <c r="C987" s="160"/>
      <c r="D987" s="160"/>
      <c r="E987" s="160"/>
      <c r="F987" s="160"/>
    </row>
    <row r="988" spans="3:6" ht="15" customHeight="1" x14ac:dyDescent="0.25">
      <c r="C988" s="160"/>
      <c r="D988" s="160"/>
      <c r="E988" s="160"/>
      <c r="F988" s="160"/>
    </row>
    <row r="989" spans="3:6" ht="15" customHeight="1" x14ac:dyDescent="0.25">
      <c r="C989" s="160"/>
      <c r="D989" s="160"/>
      <c r="E989" s="160"/>
      <c r="F989" s="160"/>
    </row>
    <row r="990" spans="3:6" ht="15" customHeight="1" x14ac:dyDescent="0.25">
      <c r="C990" s="160"/>
      <c r="D990" s="160"/>
      <c r="E990" s="160"/>
      <c r="F990" s="160"/>
    </row>
    <row r="991" spans="3:6" ht="15" customHeight="1" x14ac:dyDescent="0.25">
      <c r="C991" s="160"/>
      <c r="D991" s="160"/>
      <c r="E991" s="160"/>
      <c r="F991" s="160"/>
    </row>
    <row r="992" spans="3:6" ht="15" customHeight="1" x14ac:dyDescent="0.25">
      <c r="C992" s="160"/>
      <c r="D992" s="160"/>
      <c r="E992" s="160"/>
      <c r="F992" s="160"/>
    </row>
    <row r="993" spans="3:6" ht="15" customHeight="1" x14ac:dyDescent="0.25">
      <c r="C993" s="160"/>
      <c r="D993" s="160"/>
      <c r="E993" s="160"/>
      <c r="F993" s="160"/>
    </row>
    <row r="994" spans="3:6" ht="15" customHeight="1" x14ac:dyDescent="0.25">
      <c r="C994" s="160"/>
      <c r="D994" s="160"/>
      <c r="E994" s="160"/>
      <c r="F994" s="160"/>
    </row>
    <row r="995" spans="3:6" ht="15" customHeight="1" x14ac:dyDescent="0.25">
      <c r="C995" s="160"/>
      <c r="D995" s="160"/>
      <c r="E995" s="160"/>
      <c r="F995" s="160"/>
    </row>
    <row r="996" spans="3:6" ht="15" customHeight="1" x14ac:dyDescent="0.25">
      <c r="C996" s="160"/>
      <c r="D996" s="160"/>
      <c r="E996" s="160"/>
      <c r="F996" s="160"/>
    </row>
    <row r="997" spans="3:6" ht="15" customHeight="1" x14ac:dyDescent="0.25">
      <c r="C997" s="160"/>
      <c r="D997" s="160"/>
      <c r="E997" s="160"/>
      <c r="F997" s="160"/>
    </row>
    <row r="998" spans="3:6" ht="15" customHeight="1" x14ac:dyDescent="0.25">
      <c r="C998" s="160"/>
      <c r="D998" s="160"/>
      <c r="E998" s="160"/>
      <c r="F998" s="160"/>
    </row>
    <row r="999" spans="3:6" ht="15" customHeight="1" x14ac:dyDescent="0.25">
      <c r="C999" s="160"/>
      <c r="D999" s="160"/>
      <c r="E999" s="160"/>
      <c r="F999" s="160"/>
    </row>
    <row r="1000" spans="3:6" ht="15" customHeight="1" x14ac:dyDescent="0.25">
      <c r="C1000" s="160"/>
      <c r="D1000" s="160"/>
      <c r="E1000" s="160"/>
      <c r="F1000" s="160"/>
    </row>
    <row r="1001" spans="3:6" ht="15" customHeight="1" x14ac:dyDescent="0.25">
      <c r="F1001" s="77"/>
    </row>
    <row r="1002" spans="3:6" ht="15" customHeight="1" x14ac:dyDescent="0.25">
      <c r="F1002" s="77"/>
    </row>
    <row r="1003" spans="3:6" ht="15" customHeight="1" x14ac:dyDescent="0.25">
      <c r="F1003" s="77"/>
    </row>
    <row r="1004" spans="3:6" ht="15" customHeight="1" x14ac:dyDescent="0.25">
      <c r="F1004" s="77"/>
    </row>
    <row r="1005" spans="3:6" ht="15" customHeight="1" x14ac:dyDescent="0.25">
      <c r="F1005" s="77"/>
    </row>
    <row r="1006" spans="3:6" ht="15" customHeight="1" x14ac:dyDescent="0.25">
      <c r="F1006" s="77"/>
    </row>
    <row r="1007" spans="3:6" ht="15" customHeight="1" x14ac:dyDescent="0.25">
      <c r="F1007" s="77"/>
    </row>
    <row r="1008" spans="3:6" ht="15" customHeight="1" x14ac:dyDescent="0.25">
      <c r="F1008" s="77"/>
    </row>
    <row r="1009" spans="6:6" ht="15" customHeight="1" x14ac:dyDescent="0.25">
      <c r="F1009" s="77"/>
    </row>
    <row r="1010" spans="6:6" ht="15" customHeight="1" x14ac:dyDescent="0.25">
      <c r="F1010" s="77"/>
    </row>
  </sheetData>
  <sheetProtection algorithmName="SHA-512" hashValue="Xb44cuiYdQ16+MaaDQj/eZUKnlb+bq9G7yO6JP30X1S/2stb4oHzu3HsFLPWdM63xZ+6bUI4YcWPeu5CxKRk5A==" saltValue="Xlcr8T+ouSYkT1rIGfj63w==" spinCount="100000" sheet="1" scenarios="1" formatCells="0" formatColumns="0" insertRows="0" deleteRows="0" autoFilter="0"/>
  <autoFilter ref="A5:A95" xr:uid="{00000000-0009-0000-0000-000000000000}"/>
  <dataConsolidate link="1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42</v>
      </c>
    </row>
    <row r="2" spans="1:2" ht="24.75" customHeight="1" x14ac:dyDescent="0.25">
      <c r="A2" s="11" t="s">
        <v>43</v>
      </c>
      <c r="B2" s="14" t="s">
        <v>803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3070985.1903299997</v>
      </c>
    </row>
    <row r="5" spans="1:2" x14ac:dyDescent="0.25">
      <c r="A5" s="11" t="s">
        <v>38</v>
      </c>
      <c r="B5" s="13">
        <v>435841.51207270008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113356.95625554712</v>
      </c>
    </row>
    <row r="8" spans="1:2" ht="15.75" thickBot="1" x14ac:dyDescent="0.3">
      <c r="A8" s="11" t="s">
        <v>41</v>
      </c>
      <c r="B8" s="13">
        <v>3393469.746147153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BdjU7BfVrOdLURqNnOtYwlxSdQZSC3FvV4IZUzvg0TWgmlZoIpM0HaIJ7Mpk0xe0dATPpOzY86dv54YrO8uxBg==" saltValue="sdcE0lKWiqPpfPqyBcxkkg==" spinCount="100000" sheet="1" scenarios="1" formatCells="0" formatColumns="0" insertRows="0" deleteRows="0" autoFilter="0"/>
  <dataConsolidate link="1"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73" bestFit="1" customWidth="1"/>
    <col min="2" max="2" width="9.85546875" style="73" bestFit="1" customWidth="1"/>
    <col min="3" max="16384" width="8.85546875" style="73"/>
  </cols>
  <sheetData>
    <row r="1" spans="1:2" x14ac:dyDescent="0.25">
      <c r="A1" s="73" t="s">
        <v>52</v>
      </c>
    </row>
    <row r="2" spans="1:2" ht="24.75" customHeight="1" x14ac:dyDescent="0.25">
      <c r="A2" s="11" t="s">
        <v>43</v>
      </c>
      <c r="B2" s="14" t="s">
        <v>803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0</v>
      </c>
    </row>
    <row r="5" spans="1:2" x14ac:dyDescent="0.25">
      <c r="A5" s="11" t="s">
        <v>38</v>
      </c>
      <c r="B5" s="13">
        <v>199447.94242873561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0</v>
      </c>
    </row>
    <row r="8" spans="1:2" ht="15.75" thickBot="1" x14ac:dyDescent="0.3">
      <c r="A8" s="11" t="s">
        <v>41</v>
      </c>
      <c r="B8" s="13">
        <v>199447.94242873561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8FHF2mKPw5k/Ef9zej1aAdnJ0qW4okhhuIwJThJdVV+sAZoGiuXQyclucj9kdNpbHiD3cjLcIgFO7abQEJGZDw==" saltValue="rHFSw51bmHCdXlaeabqENg==" spinCount="100000" sheet="1" scenarios="1" formatCells="0" formatColumns="0" insertRows="0" deleteRows="0" autoFilter="0"/>
  <dataConsolidate link="1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3"/>
  <dimension ref="A1:Q803"/>
  <sheetViews>
    <sheetView topLeftCell="A787" workbookViewId="0">
      <selection activeCell="A801" sqref="A801"/>
    </sheetView>
  </sheetViews>
  <sheetFormatPr defaultRowHeight="15" x14ac:dyDescent="0.25"/>
  <cols>
    <col min="1" max="1" width="21" customWidth="1"/>
    <col min="2" max="2" width="16" bestFit="1" customWidth="1"/>
    <col min="3" max="3" width="10" bestFit="1" customWidth="1"/>
    <col min="4" max="4" width="18" bestFit="1" customWidth="1"/>
    <col min="5" max="5" width="13.7109375" bestFit="1" customWidth="1"/>
    <col min="6" max="6" width="12.7109375" bestFit="1" customWidth="1"/>
    <col min="7" max="7" width="13.7109375" bestFit="1" customWidth="1"/>
    <col min="8" max="8" width="10.140625" bestFit="1" customWidth="1"/>
    <col min="9" max="9" width="11.42578125" bestFit="1" customWidth="1"/>
    <col min="10" max="10" width="10.85546875" bestFit="1" customWidth="1"/>
    <col min="11" max="11" width="12.5703125" bestFit="1" customWidth="1"/>
    <col min="12" max="12" width="9.85546875" bestFit="1" customWidth="1"/>
    <col min="13" max="13" width="10.85546875" bestFit="1" customWidth="1"/>
    <col min="14" max="14" width="11.7109375" bestFit="1" customWidth="1"/>
  </cols>
  <sheetData>
    <row r="1" spans="1:11" s="211" customFormat="1" ht="15.75" thickBot="1" x14ac:dyDescent="0.3">
      <c r="A1" s="80" t="s">
        <v>160</v>
      </c>
    </row>
    <row r="2" spans="1:11" ht="15.75" thickBot="1" x14ac:dyDescent="0.3">
      <c r="A2" s="355"/>
      <c r="B2" s="356"/>
      <c r="C2" s="356"/>
      <c r="D2" s="356"/>
      <c r="E2" s="357"/>
      <c r="F2" s="140"/>
      <c r="G2" s="134" t="s">
        <v>95</v>
      </c>
      <c r="H2" s="134" t="s">
        <v>95</v>
      </c>
      <c r="I2" s="134" t="s">
        <v>95</v>
      </c>
      <c r="J2" s="134" t="s">
        <v>95</v>
      </c>
      <c r="K2" s="134" t="s">
        <v>95</v>
      </c>
    </row>
    <row r="3" spans="1:11" ht="15.75" thickBot="1" x14ac:dyDescent="0.3">
      <c r="A3" s="358"/>
      <c r="B3" s="359"/>
      <c r="C3" s="359"/>
      <c r="D3" s="359"/>
      <c r="E3" s="360"/>
      <c r="F3" s="140" t="s">
        <v>101</v>
      </c>
      <c r="G3" s="134" t="s">
        <v>102</v>
      </c>
      <c r="H3" s="134" t="s">
        <v>218</v>
      </c>
      <c r="I3" s="134" t="s">
        <v>103</v>
      </c>
      <c r="J3" s="134" t="s">
        <v>187</v>
      </c>
      <c r="K3" s="143" t="s">
        <v>104</v>
      </c>
    </row>
    <row r="4" spans="1:11" ht="15.75" thickBot="1" x14ac:dyDescent="0.3">
      <c r="A4" s="350" t="s">
        <v>105</v>
      </c>
      <c r="B4" s="351"/>
      <c r="C4" s="350" t="s">
        <v>188</v>
      </c>
      <c r="D4" s="351"/>
      <c r="E4" s="134" t="s">
        <v>92</v>
      </c>
      <c r="F4" s="141"/>
      <c r="G4" s="140" t="s">
        <v>91</v>
      </c>
      <c r="H4" s="140" t="s">
        <v>91</v>
      </c>
      <c r="I4" s="140" t="s">
        <v>91</v>
      </c>
      <c r="J4" s="140" t="s">
        <v>91</v>
      </c>
      <c r="K4" s="144" t="s">
        <v>91</v>
      </c>
    </row>
    <row r="5" spans="1:11" ht="23.25" thickBot="1" x14ac:dyDescent="0.3">
      <c r="A5" s="134" t="s">
        <v>106</v>
      </c>
      <c r="B5" s="134" t="s">
        <v>107</v>
      </c>
      <c r="C5" s="134" t="s">
        <v>181</v>
      </c>
      <c r="D5" s="134" t="s">
        <v>182</v>
      </c>
      <c r="E5" s="134" t="s">
        <v>110</v>
      </c>
      <c r="F5" s="134" t="s">
        <v>111</v>
      </c>
      <c r="G5" s="145"/>
      <c r="H5" s="145"/>
      <c r="I5" s="136">
        <v>-9631250</v>
      </c>
      <c r="J5" s="145"/>
      <c r="K5" s="137">
        <v>-9631250</v>
      </c>
    </row>
    <row r="6" spans="1:11" ht="23.25" thickBot="1" x14ac:dyDescent="0.3">
      <c r="A6" s="134" t="s">
        <v>106</v>
      </c>
      <c r="B6" s="134" t="s">
        <v>107</v>
      </c>
      <c r="C6" s="134" t="s">
        <v>181</v>
      </c>
      <c r="D6" s="134" t="s">
        <v>182</v>
      </c>
      <c r="E6" s="134" t="s">
        <v>148</v>
      </c>
      <c r="F6" s="134" t="s">
        <v>149</v>
      </c>
      <c r="G6" s="146"/>
      <c r="H6" s="146"/>
      <c r="I6" s="135">
        <v>174629</v>
      </c>
      <c r="J6" s="146"/>
      <c r="K6" s="137">
        <v>174629</v>
      </c>
    </row>
    <row r="7" spans="1:11" ht="23.25" thickBot="1" x14ac:dyDescent="0.3">
      <c r="A7" s="134" t="s">
        <v>106</v>
      </c>
      <c r="B7" s="134" t="s">
        <v>107</v>
      </c>
      <c r="C7" s="134" t="s">
        <v>181</v>
      </c>
      <c r="D7" s="134" t="s">
        <v>182</v>
      </c>
      <c r="E7" s="134" t="s">
        <v>112</v>
      </c>
      <c r="F7" s="134" t="s">
        <v>113</v>
      </c>
      <c r="G7" s="145"/>
      <c r="H7" s="145"/>
      <c r="I7" s="136">
        <v>-7706704</v>
      </c>
      <c r="J7" s="145"/>
      <c r="K7" s="137">
        <v>-7706704</v>
      </c>
    </row>
    <row r="8" spans="1:11" ht="23.25" thickBot="1" x14ac:dyDescent="0.3">
      <c r="A8" s="134" t="s">
        <v>106</v>
      </c>
      <c r="B8" s="134" t="s">
        <v>107</v>
      </c>
      <c r="C8" s="134" t="s">
        <v>181</v>
      </c>
      <c r="D8" s="134" t="s">
        <v>182</v>
      </c>
      <c r="E8" s="134" t="s">
        <v>157</v>
      </c>
      <c r="F8" s="134" t="s">
        <v>159</v>
      </c>
      <c r="G8" s="146"/>
      <c r="H8" s="146"/>
      <c r="I8" s="135">
        <v>-83871085</v>
      </c>
      <c r="J8" s="146"/>
      <c r="K8" s="137">
        <v>-83871085</v>
      </c>
    </row>
    <row r="9" spans="1:11" ht="23.25" thickBot="1" x14ac:dyDescent="0.3">
      <c r="A9" s="134" t="s">
        <v>106</v>
      </c>
      <c r="B9" s="134" t="s">
        <v>107</v>
      </c>
      <c r="C9" s="134" t="s">
        <v>181</v>
      </c>
      <c r="D9" s="134" t="s">
        <v>182</v>
      </c>
      <c r="E9" s="352" t="s">
        <v>64</v>
      </c>
      <c r="F9" s="353"/>
      <c r="G9" s="193"/>
      <c r="H9" s="193"/>
      <c r="I9" s="137">
        <v>-101034410</v>
      </c>
      <c r="J9" s="193"/>
      <c r="K9" s="137">
        <v>-101034410</v>
      </c>
    </row>
    <row r="10" spans="1:11" ht="23.25" thickBot="1" x14ac:dyDescent="0.3">
      <c r="A10" s="134" t="s">
        <v>106</v>
      </c>
      <c r="B10" s="134" t="s">
        <v>107</v>
      </c>
      <c r="C10" s="134" t="s">
        <v>190</v>
      </c>
      <c r="D10" s="134" t="s">
        <v>191</v>
      </c>
      <c r="E10" s="134" t="s">
        <v>108</v>
      </c>
      <c r="F10" s="134" t="s">
        <v>109</v>
      </c>
      <c r="G10" s="135">
        <v>-9247803.2799999993</v>
      </c>
      <c r="H10" s="146"/>
      <c r="I10" s="146"/>
      <c r="J10" s="146"/>
      <c r="K10" s="137">
        <v>-9247803.2799999993</v>
      </c>
    </row>
    <row r="11" spans="1:11" ht="23.25" thickBot="1" x14ac:dyDescent="0.3">
      <c r="A11" s="134" t="s">
        <v>106</v>
      </c>
      <c r="B11" s="134" t="s">
        <v>107</v>
      </c>
      <c r="C11" s="134" t="s">
        <v>190</v>
      </c>
      <c r="D11" s="134" t="s">
        <v>191</v>
      </c>
      <c r="E11" s="352" t="s">
        <v>64</v>
      </c>
      <c r="F11" s="353"/>
      <c r="G11" s="137">
        <v>-9247803.2799999993</v>
      </c>
      <c r="H11" s="193"/>
      <c r="I11" s="193"/>
      <c r="J11" s="193"/>
      <c r="K11" s="137">
        <v>-9247803.2799999993</v>
      </c>
    </row>
    <row r="12" spans="1:11" ht="23.25" thickBot="1" x14ac:dyDescent="0.3">
      <c r="A12" s="134" t="s">
        <v>106</v>
      </c>
      <c r="B12" s="134" t="s">
        <v>107</v>
      </c>
      <c r="C12" s="352" t="s">
        <v>64</v>
      </c>
      <c r="D12" s="354"/>
      <c r="E12" s="354"/>
      <c r="F12" s="353"/>
      <c r="G12" s="137">
        <v>-9247803.2799999993</v>
      </c>
      <c r="H12" s="193"/>
      <c r="I12" s="137">
        <v>-101034410</v>
      </c>
      <c r="J12" s="193"/>
      <c r="K12" s="137">
        <v>-110282213.28</v>
      </c>
    </row>
    <row r="13" spans="1:11" ht="23.25" thickBot="1" x14ac:dyDescent="0.3">
      <c r="A13" s="134" t="s">
        <v>116</v>
      </c>
      <c r="B13" s="134" t="s">
        <v>26</v>
      </c>
      <c r="C13" s="134" t="s">
        <v>181</v>
      </c>
      <c r="D13" s="134" t="s">
        <v>182</v>
      </c>
      <c r="E13" s="134" t="s">
        <v>157</v>
      </c>
      <c r="F13" s="134" t="s">
        <v>159</v>
      </c>
      <c r="G13" s="145"/>
      <c r="H13" s="145"/>
      <c r="I13" s="136">
        <v>-5601978</v>
      </c>
      <c r="J13" s="145"/>
      <c r="K13" s="137">
        <v>-5601978</v>
      </c>
    </row>
    <row r="14" spans="1:11" ht="23.25" thickBot="1" x14ac:dyDescent="0.3">
      <c r="A14" s="134" t="s">
        <v>116</v>
      </c>
      <c r="B14" s="134" t="s">
        <v>26</v>
      </c>
      <c r="C14" s="134" t="s">
        <v>181</v>
      </c>
      <c r="D14" s="134" t="s">
        <v>182</v>
      </c>
      <c r="E14" s="134" t="s">
        <v>119</v>
      </c>
      <c r="F14" s="134" t="s">
        <v>120</v>
      </c>
      <c r="G14" s="146"/>
      <c r="H14" s="146"/>
      <c r="I14" s="135">
        <v>-832756</v>
      </c>
      <c r="J14" s="146"/>
      <c r="K14" s="137">
        <v>-832756</v>
      </c>
    </row>
    <row r="15" spans="1:11" ht="23.25" thickBot="1" x14ac:dyDescent="0.3">
      <c r="A15" s="134" t="s">
        <v>116</v>
      </c>
      <c r="B15" s="134" t="s">
        <v>26</v>
      </c>
      <c r="C15" s="134" t="s">
        <v>181</v>
      </c>
      <c r="D15" s="134" t="s">
        <v>182</v>
      </c>
      <c r="E15" s="352" t="s">
        <v>64</v>
      </c>
      <c r="F15" s="353"/>
      <c r="G15" s="193"/>
      <c r="H15" s="193"/>
      <c r="I15" s="137">
        <v>-6434734</v>
      </c>
      <c r="J15" s="193"/>
      <c r="K15" s="137">
        <v>-6434734</v>
      </c>
    </row>
    <row r="16" spans="1:11" ht="23.25" thickBot="1" x14ac:dyDescent="0.3">
      <c r="A16" s="134" t="s">
        <v>116</v>
      </c>
      <c r="B16" s="134" t="s">
        <v>26</v>
      </c>
      <c r="C16" s="134" t="s">
        <v>190</v>
      </c>
      <c r="D16" s="134" t="s">
        <v>191</v>
      </c>
      <c r="E16" s="134" t="s">
        <v>108</v>
      </c>
      <c r="F16" s="134" t="s">
        <v>109</v>
      </c>
      <c r="G16" s="135">
        <v>-1935776.14</v>
      </c>
      <c r="H16" s="146"/>
      <c r="I16" s="146"/>
      <c r="J16" s="146"/>
      <c r="K16" s="137">
        <v>-1935776.14</v>
      </c>
    </row>
    <row r="17" spans="1:11" ht="23.25" thickBot="1" x14ac:dyDescent="0.3">
      <c r="A17" s="134" t="s">
        <v>116</v>
      </c>
      <c r="B17" s="134" t="s">
        <v>26</v>
      </c>
      <c r="C17" s="134" t="s">
        <v>190</v>
      </c>
      <c r="D17" s="134" t="s">
        <v>191</v>
      </c>
      <c r="E17" s="352" t="s">
        <v>64</v>
      </c>
      <c r="F17" s="353"/>
      <c r="G17" s="137">
        <v>-1935776.14</v>
      </c>
      <c r="H17" s="193"/>
      <c r="I17" s="193"/>
      <c r="J17" s="193"/>
      <c r="K17" s="137">
        <v>-1935776.14</v>
      </c>
    </row>
    <row r="18" spans="1:11" ht="15.75" thickBot="1" x14ac:dyDescent="0.3">
      <c r="A18" s="134" t="s">
        <v>116</v>
      </c>
      <c r="B18" s="134" t="s">
        <v>26</v>
      </c>
      <c r="C18" s="352" t="s">
        <v>64</v>
      </c>
      <c r="D18" s="354"/>
      <c r="E18" s="354"/>
      <c r="F18" s="353"/>
      <c r="G18" s="137">
        <v>-1935776.14</v>
      </c>
      <c r="H18" s="193"/>
      <c r="I18" s="137">
        <v>-6434734</v>
      </c>
      <c r="J18" s="193"/>
      <c r="K18" s="137">
        <v>-8370510.1399999997</v>
      </c>
    </row>
    <row r="19" spans="1:11" ht="23.25" thickBot="1" x14ac:dyDescent="0.3">
      <c r="A19" s="134" t="s">
        <v>219</v>
      </c>
      <c r="B19" s="134" t="s">
        <v>220</v>
      </c>
      <c r="C19" s="134" t="s">
        <v>181</v>
      </c>
      <c r="D19" s="134" t="s">
        <v>182</v>
      </c>
      <c r="E19" s="134" t="s">
        <v>110</v>
      </c>
      <c r="F19" s="134" t="s">
        <v>111</v>
      </c>
      <c r="G19" s="145"/>
      <c r="H19" s="145"/>
      <c r="I19" s="136">
        <v>-5135216</v>
      </c>
      <c r="J19" s="145"/>
      <c r="K19" s="137">
        <v>-5135216</v>
      </c>
    </row>
    <row r="20" spans="1:11" ht="23.25" thickBot="1" x14ac:dyDescent="0.3">
      <c r="A20" s="134" t="s">
        <v>219</v>
      </c>
      <c r="B20" s="134" t="s">
        <v>220</v>
      </c>
      <c r="C20" s="134" t="s">
        <v>181</v>
      </c>
      <c r="D20" s="134" t="s">
        <v>182</v>
      </c>
      <c r="E20" s="134" t="s">
        <v>157</v>
      </c>
      <c r="F20" s="134" t="s">
        <v>159</v>
      </c>
      <c r="G20" s="146"/>
      <c r="H20" s="146"/>
      <c r="I20" s="135">
        <v>-4348762</v>
      </c>
      <c r="J20" s="146"/>
      <c r="K20" s="137">
        <v>-4348762</v>
      </c>
    </row>
    <row r="21" spans="1:11" ht="23.25" thickBot="1" x14ac:dyDescent="0.3">
      <c r="A21" s="134" t="s">
        <v>219</v>
      </c>
      <c r="B21" s="134" t="s">
        <v>220</v>
      </c>
      <c r="C21" s="134" t="s">
        <v>181</v>
      </c>
      <c r="D21" s="134" t="s">
        <v>182</v>
      </c>
      <c r="E21" s="352" t="s">
        <v>64</v>
      </c>
      <c r="F21" s="353"/>
      <c r="G21" s="193"/>
      <c r="H21" s="193"/>
      <c r="I21" s="137">
        <v>-9483978</v>
      </c>
      <c r="J21" s="193"/>
      <c r="K21" s="137">
        <v>-9483978</v>
      </c>
    </row>
    <row r="22" spans="1:11" ht="23.25" thickBot="1" x14ac:dyDescent="0.3">
      <c r="A22" s="134" t="s">
        <v>219</v>
      </c>
      <c r="B22" s="134" t="s">
        <v>220</v>
      </c>
      <c r="C22" s="352" t="s">
        <v>64</v>
      </c>
      <c r="D22" s="354"/>
      <c r="E22" s="354"/>
      <c r="F22" s="353"/>
      <c r="G22" s="193"/>
      <c r="H22" s="193"/>
      <c r="I22" s="137">
        <v>-9483978</v>
      </c>
      <c r="J22" s="193"/>
      <c r="K22" s="137">
        <v>-9483978</v>
      </c>
    </row>
    <row r="23" spans="1:11" ht="23.25" thickBot="1" x14ac:dyDescent="0.3">
      <c r="A23" s="134" t="s">
        <v>121</v>
      </c>
      <c r="B23" s="134" t="s">
        <v>122</v>
      </c>
      <c r="C23" s="134" t="s">
        <v>181</v>
      </c>
      <c r="D23" s="134" t="s">
        <v>182</v>
      </c>
      <c r="E23" s="134" t="s">
        <v>110</v>
      </c>
      <c r="F23" s="134" t="s">
        <v>111</v>
      </c>
      <c r="G23" s="145"/>
      <c r="H23" s="145"/>
      <c r="I23" s="136">
        <v>3305464</v>
      </c>
      <c r="J23" s="145"/>
      <c r="K23" s="137">
        <v>3305464</v>
      </c>
    </row>
    <row r="24" spans="1:11" ht="23.25" thickBot="1" x14ac:dyDescent="0.3">
      <c r="A24" s="134" t="s">
        <v>121</v>
      </c>
      <c r="B24" s="134" t="s">
        <v>122</v>
      </c>
      <c r="C24" s="134" t="s">
        <v>181</v>
      </c>
      <c r="D24" s="134" t="s">
        <v>182</v>
      </c>
      <c r="E24" s="134" t="s">
        <v>148</v>
      </c>
      <c r="F24" s="134" t="s">
        <v>149</v>
      </c>
      <c r="G24" s="146"/>
      <c r="H24" s="146"/>
      <c r="I24" s="135">
        <v>5409441</v>
      </c>
      <c r="J24" s="146"/>
      <c r="K24" s="137">
        <v>5409441</v>
      </c>
    </row>
    <row r="25" spans="1:11" ht="23.25" thickBot="1" x14ac:dyDescent="0.3">
      <c r="A25" s="134" t="s">
        <v>121</v>
      </c>
      <c r="B25" s="134" t="s">
        <v>122</v>
      </c>
      <c r="C25" s="134" t="s">
        <v>181</v>
      </c>
      <c r="D25" s="134" t="s">
        <v>182</v>
      </c>
      <c r="E25" s="134" t="s">
        <v>112</v>
      </c>
      <c r="F25" s="134" t="s">
        <v>113</v>
      </c>
      <c r="G25" s="145"/>
      <c r="H25" s="145"/>
      <c r="I25" s="136">
        <v>-135539805</v>
      </c>
      <c r="J25" s="145"/>
      <c r="K25" s="137">
        <v>-135539805</v>
      </c>
    </row>
    <row r="26" spans="1:11" ht="23.25" thickBot="1" x14ac:dyDescent="0.3">
      <c r="A26" s="134" t="s">
        <v>121</v>
      </c>
      <c r="B26" s="134" t="s">
        <v>122</v>
      </c>
      <c r="C26" s="134" t="s">
        <v>181</v>
      </c>
      <c r="D26" s="134" t="s">
        <v>182</v>
      </c>
      <c r="E26" s="134" t="s">
        <v>157</v>
      </c>
      <c r="F26" s="134" t="s">
        <v>159</v>
      </c>
      <c r="G26" s="146"/>
      <c r="H26" s="146"/>
      <c r="I26" s="135">
        <v>-99541134</v>
      </c>
      <c r="J26" s="146"/>
      <c r="K26" s="137">
        <v>-99541134</v>
      </c>
    </row>
    <row r="27" spans="1:11" ht="23.25" thickBot="1" x14ac:dyDescent="0.3">
      <c r="A27" s="134" t="s">
        <v>121</v>
      </c>
      <c r="B27" s="134" t="s">
        <v>122</v>
      </c>
      <c r="C27" s="134" t="s">
        <v>181</v>
      </c>
      <c r="D27" s="134" t="s">
        <v>182</v>
      </c>
      <c r="E27" s="352" t="s">
        <v>64</v>
      </c>
      <c r="F27" s="353"/>
      <c r="G27" s="193"/>
      <c r="H27" s="193"/>
      <c r="I27" s="137">
        <v>-226366034</v>
      </c>
      <c r="J27" s="193"/>
      <c r="K27" s="137">
        <v>-226366034</v>
      </c>
    </row>
    <row r="28" spans="1:11" ht="23.25" thickBot="1" x14ac:dyDescent="0.3">
      <c r="A28" s="134" t="s">
        <v>121</v>
      </c>
      <c r="B28" s="134" t="s">
        <v>122</v>
      </c>
      <c r="C28" s="134" t="s">
        <v>190</v>
      </c>
      <c r="D28" s="134" t="s">
        <v>191</v>
      </c>
      <c r="E28" s="134" t="s">
        <v>108</v>
      </c>
      <c r="F28" s="134" t="s">
        <v>109</v>
      </c>
      <c r="G28" s="135">
        <v>-6210216.6699999999</v>
      </c>
      <c r="H28" s="146"/>
      <c r="I28" s="146"/>
      <c r="J28" s="146"/>
      <c r="K28" s="137">
        <v>-6210216.6699999999</v>
      </c>
    </row>
    <row r="29" spans="1:11" ht="23.25" thickBot="1" x14ac:dyDescent="0.3">
      <c r="A29" s="134" t="s">
        <v>121</v>
      </c>
      <c r="B29" s="134" t="s">
        <v>122</v>
      </c>
      <c r="C29" s="134" t="s">
        <v>190</v>
      </c>
      <c r="D29" s="134" t="s">
        <v>191</v>
      </c>
      <c r="E29" s="352" t="s">
        <v>64</v>
      </c>
      <c r="F29" s="353"/>
      <c r="G29" s="137">
        <v>-6210216.6699999999</v>
      </c>
      <c r="H29" s="193"/>
      <c r="I29" s="193"/>
      <c r="J29" s="193"/>
      <c r="K29" s="137">
        <v>-6210216.6699999999</v>
      </c>
    </row>
    <row r="30" spans="1:11" ht="23.25" thickBot="1" x14ac:dyDescent="0.3">
      <c r="A30" s="134" t="s">
        <v>121</v>
      </c>
      <c r="B30" s="134" t="s">
        <v>122</v>
      </c>
      <c r="C30" s="352" t="s">
        <v>64</v>
      </c>
      <c r="D30" s="354"/>
      <c r="E30" s="354"/>
      <c r="F30" s="353"/>
      <c r="G30" s="137">
        <v>-6210216.6699999999</v>
      </c>
      <c r="H30" s="193"/>
      <c r="I30" s="137">
        <v>-226366034</v>
      </c>
      <c r="J30" s="193"/>
      <c r="K30" s="137">
        <v>-232576250.66999999</v>
      </c>
    </row>
    <row r="31" spans="1:11" ht="23.25" thickBot="1" x14ac:dyDescent="0.3">
      <c r="A31" s="134" t="s">
        <v>123</v>
      </c>
      <c r="B31" s="134" t="s">
        <v>25</v>
      </c>
      <c r="C31" s="134" t="s">
        <v>181</v>
      </c>
      <c r="D31" s="134" t="s">
        <v>182</v>
      </c>
      <c r="E31" s="134" t="s">
        <v>125</v>
      </c>
      <c r="F31" s="134" t="s">
        <v>126</v>
      </c>
      <c r="G31" s="145"/>
      <c r="H31" s="145"/>
      <c r="I31" s="136">
        <v>-948598</v>
      </c>
      <c r="J31" s="145"/>
      <c r="K31" s="137">
        <v>-948598</v>
      </c>
    </row>
    <row r="32" spans="1:11" ht="23.25" thickBot="1" x14ac:dyDescent="0.3">
      <c r="A32" s="134" t="s">
        <v>123</v>
      </c>
      <c r="B32" s="134" t="s">
        <v>25</v>
      </c>
      <c r="C32" s="134" t="s">
        <v>181</v>
      </c>
      <c r="D32" s="134" t="s">
        <v>182</v>
      </c>
      <c r="E32" s="134" t="s">
        <v>112</v>
      </c>
      <c r="F32" s="134" t="s">
        <v>113</v>
      </c>
      <c r="G32" s="146"/>
      <c r="H32" s="146"/>
      <c r="I32" s="135">
        <v>-17347365</v>
      </c>
      <c r="J32" s="146"/>
      <c r="K32" s="137">
        <v>-17347365</v>
      </c>
    </row>
    <row r="33" spans="1:11" ht="23.25" thickBot="1" x14ac:dyDescent="0.3">
      <c r="A33" s="134" t="s">
        <v>123</v>
      </c>
      <c r="B33" s="134" t="s">
        <v>25</v>
      </c>
      <c r="C33" s="134" t="s">
        <v>181</v>
      </c>
      <c r="D33" s="134" t="s">
        <v>182</v>
      </c>
      <c r="E33" s="134" t="s">
        <v>157</v>
      </c>
      <c r="F33" s="134" t="s">
        <v>159</v>
      </c>
      <c r="G33" s="145"/>
      <c r="H33" s="145"/>
      <c r="I33" s="136">
        <v>-18538551</v>
      </c>
      <c r="J33" s="145"/>
      <c r="K33" s="137">
        <v>-18538551</v>
      </c>
    </row>
    <row r="34" spans="1:11" ht="23.25" thickBot="1" x14ac:dyDescent="0.3">
      <c r="A34" s="134" t="s">
        <v>123</v>
      </c>
      <c r="B34" s="134" t="s">
        <v>25</v>
      </c>
      <c r="C34" s="134" t="s">
        <v>181</v>
      </c>
      <c r="D34" s="134" t="s">
        <v>182</v>
      </c>
      <c r="E34" s="134" t="s">
        <v>194</v>
      </c>
      <c r="F34" s="134" t="s">
        <v>128</v>
      </c>
      <c r="G34" s="146"/>
      <c r="H34" s="146"/>
      <c r="I34" s="135">
        <v>-6639677</v>
      </c>
      <c r="J34" s="146"/>
      <c r="K34" s="137">
        <v>-6639677</v>
      </c>
    </row>
    <row r="35" spans="1:11" ht="23.25" thickBot="1" x14ac:dyDescent="0.3">
      <c r="A35" s="134" t="s">
        <v>123</v>
      </c>
      <c r="B35" s="134" t="s">
        <v>25</v>
      </c>
      <c r="C35" s="134" t="s">
        <v>181</v>
      </c>
      <c r="D35" s="134" t="s">
        <v>182</v>
      </c>
      <c r="E35" s="352" t="s">
        <v>64</v>
      </c>
      <c r="F35" s="353"/>
      <c r="G35" s="193"/>
      <c r="H35" s="193"/>
      <c r="I35" s="137">
        <v>-43474191</v>
      </c>
      <c r="J35" s="193"/>
      <c r="K35" s="137">
        <v>-43474191</v>
      </c>
    </row>
    <row r="36" spans="1:11" ht="23.25" thickBot="1" x14ac:dyDescent="0.3">
      <c r="A36" s="134" t="s">
        <v>123</v>
      </c>
      <c r="B36" s="134" t="s">
        <v>25</v>
      </c>
      <c r="C36" s="134" t="s">
        <v>190</v>
      </c>
      <c r="D36" s="134" t="s">
        <v>191</v>
      </c>
      <c r="E36" s="134" t="s">
        <v>108</v>
      </c>
      <c r="F36" s="134" t="s">
        <v>109</v>
      </c>
      <c r="G36" s="135">
        <v>-4069591.91</v>
      </c>
      <c r="H36" s="146"/>
      <c r="I36" s="146"/>
      <c r="J36" s="146"/>
      <c r="K36" s="137">
        <v>-4069591.91</v>
      </c>
    </row>
    <row r="37" spans="1:11" ht="23.25" thickBot="1" x14ac:dyDescent="0.3">
      <c r="A37" s="134" t="s">
        <v>123</v>
      </c>
      <c r="B37" s="134" t="s">
        <v>25</v>
      </c>
      <c r="C37" s="134" t="s">
        <v>190</v>
      </c>
      <c r="D37" s="134" t="s">
        <v>191</v>
      </c>
      <c r="E37" s="352" t="s">
        <v>64</v>
      </c>
      <c r="F37" s="353"/>
      <c r="G37" s="137">
        <v>-4069591.91</v>
      </c>
      <c r="H37" s="193"/>
      <c r="I37" s="193"/>
      <c r="J37" s="193"/>
      <c r="K37" s="137">
        <v>-4069591.91</v>
      </c>
    </row>
    <row r="38" spans="1:11" ht="23.25" thickBot="1" x14ac:dyDescent="0.3">
      <c r="A38" s="134" t="s">
        <v>123</v>
      </c>
      <c r="B38" s="134" t="s">
        <v>25</v>
      </c>
      <c r="C38" s="352" t="s">
        <v>64</v>
      </c>
      <c r="D38" s="354"/>
      <c r="E38" s="354"/>
      <c r="F38" s="353"/>
      <c r="G38" s="137">
        <v>-4069591.91</v>
      </c>
      <c r="H38" s="193"/>
      <c r="I38" s="137">
        <v>-43474191</v>
      </c>
      <c r="J38" s="193"/>
      <c r="K38" s="137">
        <v>-47543782.909999996</v>
      </c>
    </row>
    <row r="39" spans="1:11" ht="23.25" thickBot="1" x14ac:dyDescent="0.3">
      <c r="A39" s="134" t="s">
        <v>131</v>
      </c>
      <c r="B39" s="134" t="s">
        <v>132</v>
      </c>
      <c r="C39" s="134" t="s">
        <v>181</v>
      </c>
      <c r="D39" s="134" t="s">
        <v>182</v>
      </c>
      <c r="E39" s="134" t="s">
        <v>110</v>
      </c>
      <c r="F39" s="134" t="s">
        <v>111</v>
      </c>
      <c r="G39" s="145"/>
      <c r="H39" s="145"/>
      <c r="I39" s="136">
        <v>-5608234</v>
      </c>
      <c r="J39" s="145"/>
      <c r="K39" s="137">
        <v>-5608234</v>
      </c>
    </row>
    <row r="40" spans="1:11" ht="23.25" thickBot="1" x14ac:dyDescent="0.3">
      <c r="A40" s="134" t="s">
        <v>131</v>
      </c>
      <c r="B40" s="134" t="s">
        <v>132</v>
      </c>
      <c r="C40" s="134" t="s">
        <v>181</v>
      </c>
      <c r="D40" s="134" t="s">
        <v>182</v>
      </c>
      <c r="E40" s="134" t="s">
        <v>148</v>
      </c>
      <c r="F40" s="134" t="s">
        <v>149</v>
      </c>
      <c r="G40" s="146"/>
      <c r="H40" s="146"/>
      <c r="I40" s="135">
        <v>1392157.52</v>
      </c>
      <c r="J40" s="146"/>
      <c r="K40" s="137">
        <v>1392157.52</v>
      </c>
    </row>
    <row r="41" spans="1:11" ht="23.25" thickBot="1" x14ac:dyDescent="0.3">
      <c r="A41" s="134" t="s">
        <v>131</v>
      </c>
      <c r="B41" s="134" t="s">
        <v>132</v>
      </c>
      <c r="C41" s="134" t="s">
        <v>181</v>
      </c>
      <c r="D41" s="134" t="s">
        <v>182</v>
      </c>
      <c r="E41" s="134" t="s">
        <v>112</v>
      </c>
      <c r="F41" s="134" t="s">
        <v>113</v>
      </c>
      <c r="G41" s="145"/>
      <c r="H41" s="145"/>
      <c r="I41" s="136">
        <v>-41331056</v>
      </c>
      <c r="J41" s="145"/>
      <c r="K41" s="137">
        <v>-41331056</v>
      </c>
    </row>
    <row r="42" spans="1:11" ht="23.25" thickBot="1" x14ac:dyDescent="0.3">
      <c r="A42" s="134" t="s">
        <v>131</v>
      </c>
      <c r="B42" s="134" t="s">
        <v>132</v>
      </c>
      <c r="C42" s="134" t="s">
        <v>181</v>
      </c>
      <c r="D42" s="134" t="s">
        <v>182</v>
      </c>
      <c r="E42" s="134" t="s">
        <v>157</v>
      </c>
      <c r="F42" s="134" t="s">
        <v>159</v>
      </c>
      <c r="G42" s="146"/>
      <c r="H42" s="146"/>
      <c r="I42" s="135">
        <v>-84672575</v>
      </c>
      <c r="J42" s="146"/>
      <c r="K42" s="137">
        <v>-84672575</v>
      </c>
    </row>
    <row r="43" spans="1:11" ht="23.25" thickBot="1" x14ac:dyDescent="0.3">
      <c r="A43" s="134" t="s">
        <v>131</v>
      </c>
      <c r="B43" s="134" t="s">
        <v>132</v>
      </c>
      <c r="C43" s="134" t="s">
        <v>181</v>
      </c>
      <c r="D43" s="134" t="s">
        <v>182</v>
      </c>
      <c r="E43" s="352" t="s">
        <v>64</v>
      </c>
      <c r="F43" s="353"/>
      <c r="G43" s="193"/>
      <c r="H43" s="193"/>
      <c r="I43" s="137">
        <v>-130219707.48</v>
      </c>
      <c r="J43" s="193"/>
      <c r="K43" s="137">
        <v>-130219707.48</v>
      </c>
    </row>
    <row r="44" spans="1:11" ht="23.25" thickBot="1" x14ac:dyDescent="0.3">
      <c r="A44" s="134" t="s">
        <v>131</v>
      </c>
      <c r="B44" s="134" t="s">
        <v>132</v>
      </c>
      <c r="C44" s="134" t="s">
        <v>190</v>
      </c>
      <c r="D44" s="134" t="s">
        <v>191</v>
      </c>
      <c r="E44" s="134" t="s">
        <v>108</v>
      </c>
      <c r="F44" s="134" t="s">
        <v>109</v>
      </c>
      <c r="G44" s="135">
        <v>-5326917.2699999996</v>
      </c>
      <c r="H44" s="146"/>
      <c r="I44" s="146"/>
      <c r="J44" s="146"/>
      <c r="K44" s="137">
        <v>-5326917.2699999996</v>
      </c>
    </row>
    <row r="45" spans="1:11" ht="23.25" thickBot="1" x14ac:dyDescent="0.3">
      <c r="A45" s="134" t="s">
        <v>131</v>
      </c>
      <c r="B45" s="134" t="s">
        <v>132</v>
      </c>
      <c r="C45" s="134" t="s">
        <v>190</v>
      </c>
      <c r="D45" s="134" t="s">
        <v>191</v>
      </c>
      <c r="E45" s="352" t="s">
        <v>64</v>
      </c>
      <c r="F45" s="353"/>
      <c r="G45" s="137">
        <v>-5326917.2699999996</v>
      </c>
      <c r="H45" s="193"/>
      <c r="I45" s="193"/>
      <c r="J45" s="193"/>
      <c r="K45" s="137">
        <v>-5326917.2699999996</v>
      </c>
    </row>
    <row r="46" spans="1:11" ht="23.25" thickBot="1" x14ac:dyDescent="0.3">
      <c r="A46" s="134" t="s">
        <v>131</v>
      </c>
      <c r="B46" s="134" t="s">
        <v>132</v>
      </c>
      <c r="C46" s="352" t="s">
        <v>64</v>
      </c>
      <c r="D46" s="354"/>
      <c r="E46" s="354"/>
      <c r="F46" s="353"/>
      <c r="G46" s="137">
        <v>-5326917.2699999996</v>
      </c>
      <c r="H46" s="193"/>
      <c r="I46" s="137">
        <v>-130219707.48</v>
      </c>
      <c r="J46" s="193"/>
      <c r="K46" s="137">
        <v>-135546624.75</v>
      </c>
    </row>
    <row r="47" spans="1:11" ht="23.25" thickBot="1" x14ac:dyDescent="0.3">
      <c r="A47" s="134" t="s">
        <v>139</v>
      </c>
      <c r="B47" s="134" t="s">
        <v>24</v>
      </c>
      <c r="C47" s="134" t="s">
        <v>181</v>
      </c>
      <c r="D47" s="134" t="s">
        <v>182</v>
      </c>
      <c r="E47" s="134" t="s">
        <v>125</v>
      </c>
      <c r="F47" s="134" t="s">
        <v>126</v>
      </c>
      <c r="G47" s="145"/>
      <c r="H47" s="145"/>
      <c r="I47" s="136">
        <v>392079.89</v>
      </c>
      <c r="J47" s="145"/>
      <c r="K47" s="137">
        <v>392079.89</v>
      </c>
    </row>
    <row r="48" spans="1:11" ht="23.25" thickBot="1" x14ac:dyDescent="0.3">
      <c r="A48" s="134" t="s">
        <v>139</v>
      </c>
      <c r="B48" s="134" t="s">
        <v>24</v>
      </c>
      <c r="C48" s="134" t="s">
        <v>181</v>
      </c>
      <c r="D48" s="134" t="s">
        <v>182</v>
      </c>
      <c r="E48" s="134" t="s">
        <v>140</v>
      </c>
      <c r="F48" s="134" t="s">
        <v>141</v>
      </c>
      <c r="G48" s="146"/>
      <c r="H48" s="146"/>
      <c r="I48" s="135">
        <v>-36216</v>
      </c>
      <c r="J48" s="146"/>
      <c r="K48" s="137">
        <v>-36216</v>
      </c>
    </row>
    <row r="49" spans="1:11" ht="23.25" thickBot="1" x14ac:dyDescent="0.3">
      <c r="A49" s="134" t="s">
        <v>139</v>
      </c>
      <c r="B49" s="134" t="s">
        <v>24</v>
      </c>
      <c r="C49" s="134" t="s">
        <v>181</v>
      </c>
      <c r="D49" s="134" t="s">
        <v>182</v>
      </c>
      <c r="E49" s="134" t="s">
        <v>133</v>
      </c>
      <c r="F49" s="134" t="s">
        <v>134</v>
      </c>
      <c r="G49" s="145"/>
      <c r="H49" s="145"/>
      <c r="I49" s="136">
        <v>53912</v>
      </c>
      <c r="J49" s="145"/>
      <c r="K49" s="137">
        <v>53912</v>
      </c>
    </row>
    <row r="50" spans="1:11" ht="23.25" thickBot="1" x14ac:dyDescent="0.3">
      <c r="A50" s="134" t="s">
        <v>139</v>
      </c>
      <c r="B50" s="134" t="s">
        <v>24</v>
      </c>
      <c r="C50" s="134" t="s">
        <v>181</v>
      </c>
      <c r="D50" s="134" t="s">
        <v>182</v>
      </c>
      <c r="E50" s="134" t="s">
        <v>142</v>
      </c>
      <c r="F50" s="134" t="s">
        <v>143</v>
      </c>
      <c r="G50" s="146"/>
      <c r="H50" s="146"/>
      <c r="I50" s="135">
        <v>-20437</v>
      </c>
      <c r="J50" s="146"/>
      <c r="K50" s="137">
        <v>-20437</v>
      </c>
    </row>
    <row r="51" spans="1:11" ht="23.25" thickBot="1" x14ac:dyDescent="0.3">
      <c r="A51" s="134" t="s">
        <v>139</v>
      </c>
      <c r="B51" s="134" t="s">
        <v>24</v>
      </c>
      <c r="C51" s="134" t="s">
        <v>181</v>
      </c>
      <c r="D51" s="134" t="s">
        <v>182</v>
      </c>
      <c r="E51" s="134" t="s">
        <v>146</v>
      </c>
      <c r="F51" s="134" t="s">
        <v>147</v>
      </c>
      <c r="G51" s="145"/>
      <c r="H51" s="145"/>
      <c r="I51" s="136">
        <v>405974</v>
      </c>
      <c r="J51" s="145"/>
      <c r="K51" s="137">
        <v>405974</v>
      </c>
    </row>
    <row r="52" spans="1:11" ht="23.25" thickBot="1" x14ac:dyDescent="0.3">
      <c r="A52" s="134" t="s">
        <v>139</v>
      </c>
      <c r="B52" s="134" t="s">
        <v>24</v>
      </c>
      <c r="C52" s="134" t="s">
        <v>181</v>
      </c>
      <c r="D52" s="134" t="s">
        <v>182</v>
      </c>
      <c r="E52" s="134" t="s">
        <v>148</v>
      </c>
      <c r="F52" s="134" t="s">
        <v>150</v>
      </c>
      <c r="G52" s="146"/>
      <c r="H52" s="146"/>
      <c r="I52" s="135">
        <v>-3336649</v>
      </c>
      <c r="J52" s="146"/>
      <c r="K52" s="137">
        <v>-3336649</v>
      </c>
    </row>
    <row r="53" spans="1:11" ht="23.25" thickBot="1" x14ac:dyDescent="0.3">
      <c r="A53" s="134" t="s">
        <v>139</v>
      </c>
      <c r="B53" s="134" t="s">
        <v>24</v>
      </c>
      <c r="C53" s="134" t="s">
        <v>181</v>
      </c>
      <c r="D53" s="134" t="s">
        <v>182</v>
      </c>
      <c r="E53" s="134" t="s">
        <v>148</v>
      </c>
      <c r="F53" s="134" t="s">
        <v>149</v>
      </c>
      <c r="G53" s="145"/>
      <c r="H53" s="145"/>
      <c r="I53" s="136">
        <v>-223634067.40000001</v>
      </c>
      <c r="J53" s="145"/>
      <c r="K53" s="137">
        <v>-223634067.40000001</v>
      </c>
    </row>
    <row r="54" spans="1:11" ht="23.25" thickBot="1" x14ac:dyDescent="0.3">
      <c r="A54" s="134" t="s">
        <v>139</v>
      </c>
      <c r="B54" s="134" t="s">
        <v>24</v>
      </c>
      <c r="C54" s="134" t="s">
        <v>181</v>
      </c>
      <c r="D54" s="134" t="s">
        <v>182</v>
      </c>
      <c r="E54" s="134" t="s">
        <v>151</v>
      </c>
      <c r="F54" s="134" t="s">
        <v>152</v>
      </c>
      <c r="G54" s="146"/>
      <c r="H54" s="146"/>
      <c r="I54" s="135">
        <v>-102688401.73999999</v>
      </c>
      <c r="J54" s="146"/>
      <c r="K54" s="137">
        <v>-102688401.73999999</v>
      </c>
    </row>
    <row r="55" spans="1:11" ht="23.25" thickBot="1" x14ac:dyDescent="0.3">
      <c r="A55" s="134" t="s">
        <v>139</v>
      </c>
      <c r="B55" s="134" t="s">
        <v>24</v>
      </c>
      <c r="C55" s="134" t="s">
        <v>181</v>
      </c>
      <c r="D55" s="134" t="s">
        <v>182</v>
      </c>
      <c r="E55" s="134" t="s">
        <v>153</v>
      </c>
      <c r="F55" s="134" t="s">
        <v>154</v>
      </c>
      <c r="G55" s="145"/>
      <c r="H55" s="145"/>
      <c r="I55" s="136">
        <v>-7703897.4400000004</v>
      </c>
      <c r="J55" s="145"/>
      <c r="K55" s="137">
        <v>-7703897.4400000004</v>
      </c>
    </row>
    <row r="56" spans="1:11" ht="23.25" thickBot="1" x14ac:dyDescent="0.3">
      <c r="A56" s="134" t="s">
        <v>139</v>
      </c>
      <c r="B56" s="134" t="s">
        <v>24</v>
      </c>
      <c r="C56" s="134" t="s">
        <v>181</v>
      </c>
      <c r="D56" s="134" t="s">
        <v>182</v>
      </c>
      <c r="E56" s="134" t="s">
        <v>112</v>
      </c>
      <c r="F56" s="134" t="s">
        <v>113</v>
      </c>
      <c r="G56" s="146"/>
      <c r="H56" s="146"/>
      <c r="I56" s="135">
        <v>-1646615588.1600001</v>
      </c>
      <c r="J56" s="146"/>
      <c r="K56" s="137">
        <v>-1646615588.1600001</v>
      </c>
    </row>
    <row r="57" spans="1:11" ht="23.25" thickBot="1" x14ac:dyDescent="0.3">
      <c r="A57" s="134" t="s">
        <v>139</v>
      </c>
      <c r="B57" s="134" t="s">
        <v>24</v>
      </c>
      <c r="C57" s="134" t="s">
        <v>181</v>
      </c>
      <c r="D57" s="134" t="s">
        <v>182</v>
      </c>
      <c r="E57" s="134" t="s">
        <v>135</v>
      </c>
      <c r="F57" s="134" t="s">
        <v>136</v>
      </c>
      <c r="G57" s="145"/>
      <c r="H57" s="145"/>
      <c r="I57" s="136">
        <v>-70249359.959999993</v>
      </c>
      <c r="J57" s="145"/>
      <c r="K57" s="137">
        <v>-70249359.959999993</v>
      </c>
    </row>
    <row r="58" spans="1:11" ht="23.25" thickBot="1" x14ac:dyDescent="0.3">
      <c r="A58" s="134" t="s">
        <v>139</v>
      </c>
      <c r="B58" s="134" t="s">
        <v>24</v>
      </c>
      <c r="C58" s="134" t="s">
        <v>181</v>
      </c>
      <c r="D58" s="134" t="s">
        <v>182</v>
      </c>
      <c r="E58" s="134" t="s">
        <v>137</v>
      </c>
      <c r="F58" s="134" t="s">
        <v>138</v>
      </c>
      <c r="G58" s="146"/>
      <c r="H58" s="146"/>
      <c r="I58" s="135">
        <v>1398321.46</v>
      </c>
      <c r="J58" s="146"/>
      <c r="K58" s="137">
        <v>1398321.46</v>
      </c>
    </row>
    <row r="59" spans="1:11" ht="23.25" thickBot="1" x14ac:dyDescent="0.3">
      <c r="A59" s="134" t="s">
        <v>139</v>
      </c>
      <c r="B59" s="134" t="s">
        <v>24</v>
      </c>
      <c r="C59" s="134" t="s">
        <v>181</v>
      </c>
      <c r="D59" s="134" t="s">
        <v>182</v>
      </c>
      <c r="E59" s="134" t="s">
        <v>155</v>
      </c>
      <c r="F59" s="134" t="s">
        <v>156</v>
      </c>
      <c r="G59" s="145"/>
      <c r="H59" s="145"/>
      <c r="I59" s="136">
        <v>2544</v>
      </c>
      <c r="J59" s="145"/>
      <c r="K59" s="137">
        <v>2544</v>
      </c>
    </row>
    <row r="60" spans="1:11" ht="23.25" thickBot="1" x14ac:dyDescent="0.3">
      <c r="A60" s="134" t="s">
        <v>139</v>
      </c>
      <c r="B60" s="134" t="s">
        <v>24</v>
      </c>
      <c r="C60" s="134" t="s">
        <v>181</v>
      </c>
      <c r="D60" s="134" t="s">
        <v>182</v>
      </c>
      <c r="E60" s="134" t="s">
        <v>157</v>
      </c>
      <c r="F60" s="134" t="s">
        <v>159</v>
      </c>
      <c r="G60" s="146"/>
      <c r="H60" s="146"/>
      <c r="I60" s="135">
        <v>-189855004</v>
      </c>
      <c r="J60" s="146"/>
      <c r="K60" s="137">
        <v>-189855004</v>
      </c>
    </row>
    <row r="61" spans="1:11" ht="23.25" thickBot="1" x14ac:dyDescent="0.3">
      <c r="A61" s="134" t="s">
        <v>139</v>
      </c>
      <c r="B61" s="134" t="s">
        <v>24</v>
      </c>
      <c r="C61" s="134" t="s">
        <v>181</v>
      </c>
      <c r="D61" s="134" t="s">
        <v>182</v>
      </c>
      <c r="E61" s="134" t="s">
        <v>157</v>
      </c>
      <c r="F61" s="134" t="s">
        <v>158</v>
      </c>
      <c r="G61" s="145"/>
      <c r="H61" s="145"/>
      <c r="I61" s="136">
        <v>925286</v>
      </c>
      <c r="J61" s="145"/>
      <c r="K61" s="137">
        <v>925286</v>
      </c>
    </row>
    <row r="62" spans="1:11" ht="23.25" thickBot="1" x14ac:dyDescent="0.3">
      <c r="A62" s="134" t="s">
        <v>139</v>
      </c>
      <c r="B62" s="134" t="s">
        <v>24</v>
      </c>
      <c r="C62" s="134" t="s">
        <v>181</v>
      </c>
      <c r="D62" s="134" t="s">
        <v>182</v>
      </c>
      <c r="E62" s="134" t="s">
        <v>194</v>
      </c>
      <c r="F62" s="134" t="s">
        <v>128</v>
      </c>
      <c r="G62" s="146"/>
      <c r="H62" s="146"/>
      <c r="I62" s="135">
        <v>-507429.62</v>
      </c>
      <c r="J62" s="146"/>
      <c r="K62" s="137">
        <v>-507429.62</v>
      </c>
    </row>
    <row r="63" spans="1:11" ht="23.25" thickBot="1" x14ac:dyDescent="0.3">
      <c r="A63" s="134" t="s">
        <v>139</v>
      </c>
      <c r="B63" s="134" t="s">
        <v>24</v>
      </c>
      <c r="C63" s="134" t="s">
        <v>181</v>
      </c>
      <c r="D63" s="134" t="s">
        <v>182</v>
      </c>
      <c r="E63" s="134" t="s">
        <v>129</v>
      </c>
      <c r="F63" s="134" t="s">
        <v>130</v>
      </c>
      <c r="G63" s="145"/>
      <c r="H63" s="145"/>
      <c r="I63" s="136">
        <v>-11320</v>
      </c>
      <c r="J63" s="145"/>
      <c r="K63" s="137">
        <v>-11320</v>
      </c>
    </row>
    <row r="64" spans="1:11" ht="23.25" thickBot="1" x14ac:dyDescent="0.3">
      <c r="A64" s="134" t="s">
        <v>139</v>
      </c>
      <c r="B64" s="134" t="s">
        <v>24</v>
      </c>
      <c r="C64" s="134" t="s">
        <v>181</v>
      </c>
      <c r="D64" s="134" t="s">
        <v>182</v>
      </c>
      <c r="E64" s="352" t="s">
        <v>64</v>
      </c>
      <c r="F64" s="353"/>
      <c r="G64" s="193"/>
      <c r="H64" s="193"/>
      <c r="I64" s="137">
        <v>-2241480252.9699998</v>
      </c>
      <c r="J64" s="193"/>
      <c r="K64" s="137">
        <v>-2241480252.9699998</v>
      </c>
    </row>
    <row r="65" spans="1:11" ht="23.25" thickBot="1" x14ac:dyDescent="0.3">
      <c r="A65" s="134" t="s">
        <v>139</v>
      </c>
      <c r="B65" s="134" t="s">
        <v>24</v>
      </c>
      <c r="C65" s="134" t="s">
        <v>190</v>
      </c>
      <c r="D65" s="134" t="s">
        <v>191</v>
      </c>
      <c r="E65" s="134" t="s">
        <v>108</v>
      </c>
      <c r="F65" s="134" t="s">
        <v>109</v>
      </c>
      <c r="G65" s="136">
        <v>-2671582</v>
      </c>
      <c r="H65" s="145"/>
      <c r="I65" s="145"/>
      <c r="J65" s="145"/>
      <c r="K65" s="137">
        <v>-2671582</v>
      </c>
    </row>
    <row r="66" spans="1:11" ht="23.25" thickBot="1" x14ac:dyDescent="0.3">
      <c r="A66" s="134" t="s">
        <v>139</v>
      </c>
      <c r="B66" s="134" t="s">
        <v>24</v>
      </c>
      <c r="C66" s="134" t="s">
        <v>190</v>
      </c>
      <c r="D66" s="134" t="s">
        <v>191</v>
      </c>
      <c r="E66" s="352" t="s">
        <v>64</v>
      </c>
      <c r="F66" s="353"/>
      <c r="G66" s="137">
        <v>-2671582</v>
      </c>
      <c r="H66" s="193"/>
      <c r="I66" s="193"/>
      <c r="J66" s="193"/>
      <c r="K66" s="137">
        <v>-2671582</v>
      </c>
    </row>
    <row r="67" spans="1:11" ht="15.75" thickBot="1" x14ac:dyDescent="0.3">
      <c r="A67" s="134" t="s">
        <v>139</v>
      </c>
      <c r="B67" s="134" t="s">
        <v>24</v>
      </c>
      <c r="C67" s="352" t="s">
        <v>64</v>
      </c>
      <c r="D67" s="354"/>
      <c r="E67" s="354"/>
      <c r="F67" s="353"/>
      <c r="G67" s="137">
        <v>-2671582</v>
      </c>
      <c r="H67" s="193"/>
      <c r="I67" s="137">
        <v>-2241480252.9699998</v>
      </c>
      <c r="J67" s="193"/>
      <c r="K67" s="137">
        <v>-2244151834.9699998</v>
      </c>
    </row>
    <row r="68" spans="1:11" ht="23.25" thickBot="1" x14ac:dyDescent="0.3">
      <c r="A68" s="134" t="s">
        <v>195</v>
      </c>
      <c r="B68" s="134" t="s">
        <v>196</v>
      </c>
      <c r="C68" s="134" t="s">
        <v>181</v>
      </c>
      <c r="D68" s="134" t="s">
        <v>182</v>
      </c>
      <c r="E68" s="134" t="s">
        <v>125</v>
      </c>
      <c r="F68" s="134" t="s">
        <v>126</v>
      </c>
      <c r="G68" s="146"/>
      <c r="H68" s="146"/>
      <c r="I68" s="135">
        <v>-7612188</v>
      </c>
      <c r="J68" s="146"/>
      <c r="K68" s="137">
        <v>-7612188</v>
      </c>
    </row>
    <row r="69" spans="1:11" ht="23.25" thickBot="1" x14ac:dyDescent="0.3">
      <c r="A69" s="134" t="s">
        <v>195</v>
      </c>
      <c r="B69" s="134" t="s">
        <v>196</v>
      </c>
      <c r="C69" s="134" t="s">
        <v>181</v>
      </c>
      <c r="D69" s="134" t="s">
        <v>182</v>
      </c>
      <c r="E69" s="134" t="s">
        <v>197</v>
      </c>
      <c r="F69" s="134" t="s">
        <v>198</v>
      </c>
      <c r="G69" s="145"/>
      <c r="H69" s="145"/>
      <c r="I69" s="136">
        <v>-1350492</v>
      </c>
      <c r="J69" s="145"/>
      <c r="K69" s="137">
        <v>-1350492</v>
      </c>
    </row>
    <row r="70" spans="1:11" ht="23.25" thickBot="1" x14ac:dyDescent="0.3">
      <c r="A70" s="134" t="s">
        <v>195</v>
      </c>
      <c r="B70" s="134" t="s">
        <v>196</v>
      </c>
      <c r="C70" s="134" t="s">
        <v>181</v>
      </c>
      <c r="D70" s="134" t="s">
        <v>182</v>
      </c>
      <c r="E70" s="134" t="s">
        <v>112</v>
      </c>
      <c r="F70" s="134" t="s">
        <v>113</v>
      </c>
      <c r="G70" s="146"/>
      <c r="H70" s="146"/>
      <c r="I70" s="135">
        <v>-31862927</v>
      </c>
      <c r="J70" s="146"/>
      <c r="K70" s="137">
        <v>-31862927</v>
      </c>
    </row>
    <row r="71" spans="1:11" ht="23.25" thickBot="1" x14ac:dyDescent="0.3">
      <c r="A71" s="134" t="s">
        <v>195</v>
      </c>
      <c r="B71" s="134" t="s">
        <v>196</v>
      </c>
      <c r="C71" s="134" t="s">
        <v>181</v>
      </c>
      <c r="D71" s="134" t="s">
        <v>182</v>
      </c>
      <c r="E71" s="134" t="s">
        <v>194</v>
      </c>
      <c r="F71" s="134" t="s">
        <v>128</v>
      </c>
      <c r="G71" s="145"/>
      <c r="H71" s="145"/>
      <c r="I71" s="136">
        <v>-51212635</v>
      </c>
      <c r="J71" s="145"/>
      <c r="K71" s="137">
        <v>-51212635</v>
      </c>
    </row>
    <row r="72" spans="1:11" ht="23.25" thickBot="1" x14ac:dyDescent="0.3">
      <c r="A72" s="134" t="s">
        <v>195</v>
      </c>
      <c r="B72" s="134" t="s">
        <v>196</v>
      </c>
      <c r="C72" s="134" t="s">
        <v>181</v>
      </c>
      <c r="D72" s="134" t="s">
        <v>182</v>
      </c>
      <c r="E72" s="352" t="s">
        <v>64</v>
      </c>
      <c r="F72" s="353"/>
      <c r="G72" s="193"/>
      <c r="H72" s="193"/>
      <c r="I72" s="137">
        <v>-92038242</v>
      </c>
      <c r="J72" s="193"/>
      <c r="K72" s="137">
        <v>-92038242</v>
      </c>
    </row>
    <row r="73" spans="1:11" ht="23.25" thickBot="1" x14ac:dyDescent="0.3">
      <c r="A73" s="134" t="s">
        <v>195</v>
      </c>
      <c r="B73" s="134" t="s">
        <v>196</v>
      </c>
      <c r="C73" s="134" t="s">
        <v>190</v>
      </c>
      <c r="D73" s="134" t="s">
        <v>191</v>
      </c>
      <c r="E73" s="134" t="s">
        <v>192</v>
      </c>
      <c r="F73" s="134" t="s">
        <v>193</v>
      </c>
      <c r="G73" s="145"/>
      <c r="H73" s="145"/>
      <c r="I73" s="145"/>
      <c r="J73" s="136">
        <v>-31178</v>
      </c>
      <c r="K73" s="137">
        <v>-31178</v>
      </c>
    </row>
    <row r="74" spans="1:11" ht="23.25" thickBot="1" x14ac:dyDescent="0.3">
      <c r="A74" s="134" t="s">
        <v>195</v>
      </c>
      <c r="B74" s="134" t="s">
        <v>196</v>
      </c>
      <c r="C74" s="134" t="s">
        <v>190</v>
      </c>
      <c r="D74" s="134" t="s">
        <v>191</v>
      </c>
      <c r="E74" s="134" t="s">
        <v>201</v>
      </c>
      <c r="F74" s="134" t="s">
        <v>202</v>
      </c>
      <c r="G74" s="146"/>
      <c r="H74" s="146"/>
      <c r="I74" s="146"/>
      <c r="J74" s="135">
        <v>-1366925</v>
      </c>
      <c r="K74" s="137">
        <v>-1366925</v>
      </c>
    </row>
    <row r="75" spans="1:11" ht="23.25" thickBot="1" x14ac:dyDescent="0.3">
      <c r="A75" s="134" t="s">
        <v>195</v>
      </c>
      <c r="B75" s="134" t="s">
        <v>196</v>
      </c>
      <c r="C75" s="134" t="s">
        <v>190</v>
      </c>
      <c r="D75" s="134" t="s">
        <v>191</v>
      </c>
      <c r="E75" s="352" t="s">
        <v>64</v>
      </c>
      <c r="F75" s="353"/>
      <c r="G75" s="193"/>
      <c r="H75" s="193"/>
      <c r="I75" s="193"/>
      <c r="J75" s="137">
        <v>-1398103</v>
      </c>
      <c r="K75" s="137">
        <v>-1398103</v>
      </c>
    </row>
    <row r="76" spans="1:11" ht="23.25" thickBot="1" x14ac:dyDescent="0.3">
      <c r="A76" s="134" t="s">
        <v>195</v>
      </c>
      <c r="B76" s="134" t="s">
        <v>196</v>
      </c>
      <c r="C76" s="134" t="s">
        <v>221</v>
      </c>
      <c r="D76" s="134" t="s">
        <v>222</v>
      </c>
      <c r="E76" s="134" t="s">
        <v>192</v>
      </c>
      <c r="F76" s="134" t="s">
        <v>223</v>
      </c>
      <c r="G76" s="146"/>
      <c r="H76" s="135">
        <v>-7496</v>
      </c>
      <c r="I76" s="146"/>
      <c r="J76" s="146"/>
      <c r="K76" s="137">
        <v>-7496</v>
      </c>
    </row>
    <row r="77" spans="1:11" ht="23.25" thickBot="1" x14ac:dyDescent="0.3">
      <c r="A77" s="134" t="s">
        <v>195</v>
      </c>
      <c r="B77" s="134" t="s">
        <v>196</v>
      </c>
      <c r="C77" s="134" t="s">
        <v>221</v>
      </c>
      <c r="D77" s="134" t="s">
        <v>222</v>
      </c>
      <c r="E77" s="134" t="s">
        <v>224</v>
      </c>
      <c r="F77" s="134" t="s">
        <v>225</v>
      </c>
      <c r="G77" s="145"/>
      <c r="H77" s="136">
        <v>29024</v>
      </c>
      <c r="I77" s="145"/>
      <c r="J77" s="145"/>
      <c r="K77" s="137">
        <v>29024</v>
      </c>
    </row>
    <row r="78" spans="1:11" ht="23.25" thickBot="1" x14ac:dyDescent="0.3">
      <c r="A78" s="134" t="s">
        <v>195</v>
      </c>
      <c r="B78" s="134" t="s">
        <v>196</v>
      </c>
      <c r="C78" s="134" t="s">
        <v>221</v>
      </c>
      <c r="D78" s="134" t="s">
        <v>222</v>
      </c>
      <c r="E78" s="134" t="s">
        <v>226</v>
      </c>
      <c r="F78" s="134" t="s">
        <v>227</v>
      </c>
      <c r="G78" s="146"/>
      <c r="H78" s="135">
        <v>1815</v>
      </c>
      <c r="I78" s="146"/>
      <c r="J78" s="146"/>
      <c r="K78" s="137">
        <v>1815</v>
      </c>
    </row>
    <row r="79" spans="1:11" ht="23.25" thickBot="1" x14ac:dyDescent="0.3">
      <c r="A79" s="134" t="s">
        <v>195</v>
      </c>
      <c r="B79" s="134" t="s">
        <v>196</v>
      </c>
      <c r="C79" s="134" t="s">
        <v>221</v>
      </c>
      <c r="D79" s="134" t="s">
        <v>222</v>
      </c>
      <c r="E79" s="352" t="s">
        <v>64</v>
      </c>
      <c r="F79" s="353"/>
      <c r="G79" s="193"/>
      <c r="H79" s="137">
        <v>23343</v>
      </c>
      <c r="I79" s="193"/>
      <c r="J79" s="193"/>
      <c r="K79" s="137">
        <v>23343</v>
      </c>
    </row>
    <row r="80" spans="1:11" ht="23.25" thickBot="1" x14ac:dyDescent="0.3">
      <c r="A80" s="134" t="s">
        <v>195</v>
      </c>
      <c r="B80" s="134" t="s">
        <v>196</v>
      </c>
      <c r="C80" s="352" t="s">
        <v>64</v>
      </c>
      <c r="D80" s="354"/>
      <c r="E80" s="354"/>
      <c r="F80" s="353"/>
      <c r="G80" s="193"/>
      <c r="H80" s="137">
        <v>23343</v>
      </c>
      <c r="I80" s="137">
        <v>-92038242</v>
      </c>
      <c r="J80" s="137">
        <v>-1398103</v>
      </c>
      <c r="K80" s="137">
        <v>-93413002</v>
      </c>
    </row>
    <row r="81" spans="1:11" ht="15.75" thickBot="1" x14ac:dyDescent="0.3">
      <c r="A81" s="352" t="s">
        <v>104</v>
      </c>
      <c r="B81" s="354"/>
      <c r="C81" s="354"/>
      <c r="D81" s="354"/>
      <c r="E81" s="354"/>
      <c r="F81" s="353"/>
      <c r="G81" s="137">
        <v>-29461887.27</v>
      </c>
      <c r="H81" s="137">
        <v>23343</v>
      </c>
      <c r="I81" s="137">
        <v>-2850531549.4499998</v>
      </c>
      <c r="J81" s="137">
        <v>-1398103</v>
      </c>
      <c r="K81" s="137">
        <v>-2881368196.7199998</v>
      </c>
    </row>
    <row r="83" spans="1:11" ht="15.75" thickBot="1" x14ac:dyDescent="0.3">
      <c r="A83" s="80" t="s">
        <v>636</v>
      </c>
    </row>
    <row r="84" spans="1:11" s="218" customFormat="1" ht="15.75" thickBot="1" x14ac:dyDescent="0.3">
      <c r="A84" s="347"/>
      <c r="B84" s="348"/>
      <c r="C84" s="348"/>
      <c r="D84" s="348"/>
      <c r="E84" s="348"/>
      <c r="F84" s="348"/>
      <c r="G84" s="349"/>
      <c r="H84" s="140"/>
      <c r="I84" s="134" t="s">
        <v>95</v>
      </c>
    </row>
    <row r="85" spans="1:11" s="218" customFormat="1" ht="15.75" thickBot="1" x14ac:dyDescent="0.3">
      <c r="A85" s="134" t="s">
        <v>382</v>
      </c>
      <c r="B85" s="350" t="s">
        <v>94</v>
      </c>
      <c r="C85" s="351"/>
      <c r="D85" s="134" t="s">
        <v>188</v>
      </c>
      <c r="E85" s="350" t="s">
        <v>92</v>
      </c>
      <c r="F85" s="351"/>
      <c r="G85" s="134" t="s">
        <v>209</v>
      </c>
      <c r="H85" s="141"/>
      <c r="I85" s="140" t="s">
        <v>91</v>
      </c>
    </row>
    <row r="86" spans="1:11" s="218" customFormat="1" ht="34.5" thickBot="1" x14ac:dyDescent="0.3">
      <c r="A86" s="134" t="s">
        <v>217</v>
      </c>
      <c r="B86" s="139" t="s">
        <v>90</v>
      </c>
      <c r="C86" s="139" t="s">
        <v>89</v>
      </c>
      <c r="D86" s="134" t="s">
        <v>515</v>
      </c>
      <c r="E86" s="134" t="s">
        <v>598</v>
      </c>
      <c r="F86" s="134" t="s">
        <v>85</v>
      </c>
      <c r="G86" s="134" t="s">
        <v>381</v>
      </c>
      <c r="H86" s="134" t="s">
        <v>380</v>
      </c>
      <c r="I86" s="136">
        <v>382</v>
      </c>
    </row>
    <row r="87" spans="1:11" s="218" customFormat="1" ht="34.5" thickBot="1" x14ac:dyDescent="0.3">
      <c r="A87" s="134" t="s">
        <v>217</v>
      </c>
      <c r="B87" s="139" t="s">
        <v>90</v>
      </c>
      <c r="C87" s="139" t="s">
        <v>89</v>
      </c>
      <c r="D87" s="134" t="s">
        <v>515</v>
      </c>
      <c r="E87" s="134" t="s">
        <v>598</v>
      </c>
      <c r="F87" s="134" t="s">
        <v>85</v>
      </c>
      <c r="G87" s="134" t="s">
        <v>621</v>
      </c>
      <c r="H87" s="134" t="s">
        <v>620</v>
      </c>
      <c r="I87" s="135">
        <v>917.73</v>
      </c>
    </row>
    <row r="88" spans="1:11" s="218" customFormat="1" ht="34.5" thickBot="1" x14ac:dyDescent="0.3">
      <c r="A88" s="134" t="s">
        <v>217</v>
      </c>
      <c r="B88" s="139" t="s">
        <v>90</v>
      </c>
      <c r="C88" s="139" t="s">
        <v>89</v>
      </c>
      <c r="D88" s="134" t="s">
        <v>515</v>
      </c>
      <c r="E88" s="134" t="s">
        <v>598</v>
      </c>
      <c r="F88" s="134" t="s">
        <v>85</v>
      </c>
      <c r="G88" s="134" t="s">
        <v>619</v>
      </c>
      <c r="H88" s="134" t="s">
        <v>492</v>
      </c>
      <c r="I88" s="136">
        <v>1725.6</v>
      </c>
    </row>
    <row r="89" spans="1:11" s="218" customFormat="1" ht="34.5" thickBot="1" x14ac:dyDescent="0.3">
      <c r="A89" s="134" t="s">
        <v>217</v>
      </c>
      <c r="B89" s="139" t="s">
        <v>90</v>
      </c>
      <c r="C89" s="139" t="s">
        <v>89</v>
      </c>
      <c r="D89" s="134" t="s">
        <v>515</v>
      </c>
      <c r="E89" s="134" t="s">
        <v>598</v>
      </c>
      <c r="F89" s="134" t="s">
        <v>85</v>
      </c>
      <c r="G89" s="134" t="s">
        <v>618</v>
      </c>
      <c r="H89" s="134" t="s">
        <v>617</v>
      </c>
      <c r="I89" s="135">
        <v>-349</v>
      </c>
    </row>
    <row r="90" spans="1:11" s="218" customFormat="1" ht="34.5" thickBot="1" x14ac:dyDescent="0.3">
      <c r="A90" s="134" t="s">
        <v>217</v>
      </c>
      <c r="B90" s="139" t="s">
        <v>90</v>
      </c>
      <c r="C90" s="139" t="s">
        <v>89</v>
      </c>
      <c r="D90" s="134" t="s">
        <v>515</v>
      </c>
      <c r="E90" s="134" t="s">
        <v>598</v>
      </c>
      <c r="F90" s="134" t="s">
        <v>85</v>
      </c>
      <c r="G90" s="134" t="s">
        <v>629</v>
      </c>
      <c r="H90" s="134" t="s">
        <v>628</v>
      </c>
      <c r="I90" s="136">
        <v>588.9</v>
      </c>
    </row>
    <row r="91" spans="1:11" s="218" customFormat="1" ht="34.5" thickBot="1" x14ac:dyDescent="0.3">
      <c r="A91" s="134" t="s">
        <v>217</v>
      </c>
      <c r="B91" s="139" t="s">
        <v>90</v>
      </c>
      <c r="C91" s="139" t="s">
        <v>89</v>
      </c>
      <c r="D91" s="134" t="s">
        <v>515</v>
      </c>
      <c r="E91" s="134" t="s">
        <v>598</v>
      </c>
      <c r="F91" s="134" t="s">
        <v>85</v>
      </c>
      <c r="G91" s="134" t="s">
        <v>616</v>
      </c>
      <c r="H91" s="134" t="s">
        <v>615</v>
      </c>
      <c r="I91" s="135">
        <v>1597.5</v>
      </c>
    </row>
    <row r="92" spans="1:11" s="218" customFormat="1" ht="45.75" thickBot="1" x14ac:dyDescent="0.3">
      <c r="A92" s="134" t="s">
        <v>217</v>
      </c>
      <c r="B92" s="139" t="s">
        <v>90</v>
      </c>
      <c r="C92" s="139" t="s">
        <v>89</v>
      </c>
      <c r="D92" s="134" t="s">
        <v>515</v>
      </c>
      <c r="E92" s="134" t="s">
        <v>598</v>
      </c>
      <c r="F92" s="134" t="s">
        <v>85</v>
      </c>
      <c r="G92" s="134" t="s">
        <v>614</v>
      </c>
      <c r="H92" s="134" t="s">
        <v>613</v>
      </c>
      <c r="I92" s="136">
        <v>634.11</v>
      </c>
    </row>
    <row r="93" spans="1:11" s="218" customFormat="1" ht="34.5" thickBot="1" x14ac:dyDescent="0.3">
      <c r="A93" s="134" t="s">
        <v>217</v>
      </c>
      <c r="B93" s="139" t="s">
        <v>90</v>
      </c>
      <c r="C93" s="139" t="s">
        <v>89</v>
      </c>
      <c r="D93" s="134" t="s">
        <v>515</v>
      </c>
      <c r="E93" s="134" t="s">
        <v>598</v>
      </c>
      <c r="F93" s="134" t="s">
        <v>85</v>
      </c>
      <c r="G93" s="134" t="s">
        <v>635</v>
      </c>
      <c r="H93" s="134" t="s">
        <v>634</v>
      </c>
      <c r="I93" s="136">
        <v>670</v>
      </c>
    </row>
    <row r="94" spans="1:11" s="218" customFormat="1" ht="45.75" thickBot="1" x14ac:dyDescent="0.3">
      <c r="A94" s="134" t="s">
        <v>217</v>
      </c>
      <c r="B94" s="139" t="s">
        <v>90</v>
      </c>
      <c r="C94" s="139" t="s">
        <v>89</v>
      </c>
      <c r="D94" s="134" t="s">
        <v>515</v>
      </c>
      <c r="E94" s="134" t="s">
        <v>598</v>
      </c>
      <c r="F94" s="134" t="s">
        <v>85</v>
      </c>
      <c r="G94" s="134" t="s">
        <v>633</v>
      </c>
      <c r="H94" s="134" t="s">
        <v>632</v>
      </c>
      <c r="I94" s="135">
        <v>1101.95</v>
      </c>
    </row>
    <row r="95" spans="1:11" s="218" customFormat="1" ht="45.75" thickBot="1" x14ac:dyDescent="0.3">
      <c r="A95" s="134" t="s">
        <v>217</v>
      </c>
      <c r="B95" s="139" t="s">
        <v>90</v>
      </c>
      <c r="C95" s="139" t="s">
        <v>89</v>
      </c>
      <c r="D95" s="134" t="s">
        <v>515</v>
      </c>
      <c r="E95" s="134" t="s">
        <v>598</v>
      </c>
      <c r="F95" s="134" t="s">
        <v>85</v>
      </c>
      <c r="G95" s="134" t="s">
        <v>612</v>
      </c>
      <c r="H95" s="134" t="s">
        <v>611</v>
      </c>
      <c r="I95" s="136">
        <v>4724.5</v>
      </c>
    </row>
    <row r="96" spans="1:11" s="218" customFormat="1" ht="34.5" thickBot="1" x14ac:dyDescent="0.3">
      <c r="A96" s="134" t="s">
        <v>217</v>
      </c>
      <c r="B96" s="139" t="s">
        <v>90</v>
      </c>
      <c r="C96" s="139" t="s">
        <v>89</v>
      </c>
      <c r="D96" s="134" t="s">
        <v>515</v>
      </c>
      <c r="E96" s="134" t="s">
        <v>598</v>
      </c>
      <c r="F96" s="134" t="s">
        <v>85</v>
      </c>
      <c r="G96" s="134" t="s">
        <v>610</v>
      </c>
      <c r="H96" s="134" t="s">
        <v>609</v>
      </c>
      <c r="I96" s="135">
        <v>11392570.869999999</v>
      </c>
    </row>
    <row r="97" spans="1:9" s="218" customFormat="1" ht="45.75" thickBot="1" x14ac:dyDescent="0.3">
      <c r="A97" s="134" t="s">
        <v>217</v>
      </c>
      <c r="B97" s="139" t="s">
        <v>90</v>
      </c>
      <c r="C97" s="139" t="s">
        <v>89</v>
      </c>
      <c r="D97" s="134" t="s">
        <v>515</v>
      </c>
      <c r="E97" s="134" t="s">
        <v>598</v>
      </c>
      <c r="F97" s="134" t="s">
        <v>85</v>
      </c>
      <c r="G97" s="134" t="s">
        <v>631</v>
      </c>
      <c r="H97" s="134" t="s">
        <v>630</v>
      </c>
      <c r="I97" s="135">
        <v>7700</v>
      </c>
    </row>
    <row r="98" spans="1:9" s="218" customFormat="1" ht="45.75" thickBot="1" x14ac:dyDescent="0.3">
      <c r="A98" s="134" t="s">
        <v>217</v>
      </c>
      <c r="B98" s="139" t="s">
        <v>90</v>
      </c>
      <c r="C98" s="139" t="s">
        <v>89</v>
      </c>
      <c r="D98" s="134" t="s">
        <v>515</v>
      </c>
      <c r="E98" s="134" t="s">
        <v>598</v>
      </c>
      <c r="F98" s="134" t="s">
        <v>85</v>
      </c>
      <c r="G98" s="134" t="s">
        <v>608</v>
      </c>
      <c r="H98" s="134" t="s">
        <v>607</v>
      </c>
      <c r="I98" s="136">
        <v>1177.8</v>
      </c>
    </row>
    <row r="99" spans="1:9" s="218" customFormat="1" ht="34.5" thickBot="1" x14ac:dyDescent="0.3">
      <c r="A99" s="134" t="s">
        <v>217</v>
      </c>
      <c r="B99" s="139" t="s">
        <v>90</v>
      </c>
      <c r="C99" s="139" t="s">
        <v>89</v>
      </c>
      <c r="D99" s="134" t="s">
        <v>515</v>
      </c>
      <c r="E99" s="134" t="s">
        <v>598</v>
      </c>
      <c r="F99" s="134" t="s">
        <v>85</v>
      </c>
      <c r="G99" s="134" t="s">
        <v>627</v>
      </c>
      <c r="H99" s="134" t="s">
        <v>626</v>
      </c>
      <c r="I99" s="135">
        <v>-2800</v>
      </c>
    </row>
    <row r="100" spans="1:9" s="218" customFormat="1" ht="34.5" thickBot="1" x14ac:dyDescent="0.3">
      <c r="A100" s="134" t="s">
        <v>217</v>
      </c>
      <c r="B100" s="139" t="s">
        <v>90</v>
      </c>
      <c r="C100" s="139" t="s">
        <v>89</v>
      </c>
      <c r="D100" s="134" t="s">
        <v>515</v>
      </c>
      <c r="E100" s="134" t="s">
        <v>598</v>
      </c>
      <c r="F100" s="134" t="s">
        <v>85</v>
      </c>
      <c r="G100" s="134" t="s">
        <v>606</v>
      </c>
      <c r="H100" s="134" t="s">
        <v>605</v>
      </c>
      <c r="I100" s="135">
        <v>1338.72</v>
      </c>
    </row>
    <row r="101" spans="1:9" s="218" customFormat="1" ht="34.5" thickBot="1" x14ac:dyDescent="0.3">
      <c r="A101" s="134" t="s">
        <v>217</v>
      </c>
      <c r="B101" s="139" t="s">
        <v>90</v>
      </c>
      <c r="C101" s="139" t="s">
        <v>89</v>
      </c>
      <c r="D101" s="134" t="s">
        <v>515</v>
      </c>
      <c r="E101" s="134" t="s">
        <v>598</v>
      </c>
      <c r="F101" s="134" t="s">
        <v>85</v>
      </c>
      <c r="G101" s="134" t="s">
        <v>625</v>
      </c>
      <c r="H101" s="134" t="s">
        <v>624</v>
      </c>
      <c r="I101" s="136">
        <v>1247.5</v>
      </c>
    </row>
    <row r="102" spans="1:9" s="218" customFormat="1" ht="45.75" thickBot="1" x14ac:dyDescent="0.3">
      <c r="A102" s="134" t="s">
        <v>217</v>
      </c>
      <c r="B102" s="139" t="s">
        <v>90</v>
      </c>
      <c r="C102" s="139" t="s">
        <v>89</v>
      </c>
      <c r="D102" s="134" t="s">
        <v>515</v>
      </c>
      <c r="E102" s="134" t="s">
        <v>598</v>
      </c>
      <c r="F102" s="134" t="s">
        <v>85</v>
      </c>
      <c r="G102" s="134" t="s">
        <v>604</v>
      </c>
      <c r="H102" s="134" t="s">
        <v>603</v>
      </c>
      <c r="I102" s="135">
        <v>8216</v>
      </c>
    </row>
    <row r="103" spans="1:9" s="218" customFormat="1" ht="34.5" thickBot="1" x14ac:dyDescent="0.3">
      <c r="A103" s="134" t="s">
        <v>217</v>
      </c>
      <c r="B103" s="139" t="s">
        <v>90</v>
      </c>
      <c r="C103" s="139" t="s">
        <v>89</v>
      </c>
      <c r="D103" s="134" t="s">
        <v>515</v>
      </c>
      <c r="E103" s="134" t="s">
        <v>598</v>
      </c>
      <c r="F103" s="134" t="s">
        <v>85</v>
      </c>
      <c r="G103" s="134" t="s">
        <v>602</v>
      </c>
      <c r="H103" s="134" t="s">
        <v>601</v>
      </c>
      <c r="I103" s="136">
        <v>1337</v>
      </c>
    </row>
    <row r="104" spans="1:9" s="218" customFormat="1" ht="34.5" thickBot="1" x14ac:dyDescent="0.3">
      <c r="A104" s="134" t="s">
        <v>217</v>
      </c>
      <c r="B104" s="139" t="s">
        <v>90</v>
      </c>
      <c r="C104" s="139" t="s">
        <v>89</v>
      </c>
      <c r="D104" s="134" t="s">
        <v>515</v>
      </c>
      <c r="E104" s="134" t="s">
        <v>598</v>
      </c>
      <c r="F104" s="134" t="s">
        <v>85</v>
      </c>
      <c r="G104" s="134" t="s">
        <v>623</v>
      </c>
      <c r="H104" s="134" t="s">
        <v>622</v>
      </c>
      <c r="I104" s="135">
        <v>3948</v>
      </c>
    </row>
    <row r="105" spans="1:9" s="218" customFormat="1" ht="34.5" thickBot="1" x14ac:dyDescent="0.3">
      <c r="A105" s="134" t="s">
        <v>217</v>
      </c>
      <c r="B105" s="139" t="s">
        <v>90</v>
      </c>
      <c r="C105" s="139" t="s">
        <v>89</v>
      </c>
      <c r="D105" s="134" t="s">
        <v>515</v>
      </c>
      <c r="E105" s="134" t="s">
        <v>598</v>
      </c>
      <c r="F105" s="134" t="s">
        <v>85</v>
      </c>
      <c r="G105" s="134" t="s">
        <v>600</v>
      </c>
      <c r="H105" s="134" t="s">
        <v>599</v>
      </c>
      <c r="I105" s="136">
        <v>6948</v>
      </c>
    </row>
    <row r="106" spans="1:9" s="218" customFormat="1" ht="34.5" thickBot="1" x14ac:dyDescent="0.3">
      <c r="A106" s="134" t="s">
        <v>217</v>
      </c>
      <c r="B106" s="139" t="s">
        <v>90</v>
      </c>
      <c r="C106" s="139" t="s">
        <v>89</v>
      </c>
      <c r="D106" s="134" t="s">
        <v>515</v>
      </c>
      <c r="E106" s="134" t="s">
        <v>598</v>
      </c>
      <c r="F106" s="134" t="s">
        <v>85</v>
      </c>
      <c r="G106" s="134" t="s">
        <v>230</v>
      </c>
      <c r="H106" s="134" t="s">
        <v>231</v>
      </c>
      <c r="I106" s="135">
        <f>+I111+I115+I118+I124+I128+I136+I150</f>
        <v>-771507.1</v>
      </c>
    </row>
    <row r="107" spans="1:9" s="218" customFormat="1" ht="34.5" thickBot="1" x14ac:dyDescent="0.3">
      <c r="A107" s="134" t="s">
        <v>217</v>
      </c>
      <c r="B107" s="139" t="s">
        <v>90</v>
      </c>
      <c r="C107" s="139" t="s">
        <v>89</v>
      </c>
      <c r="D107" s="134" t="s">
        <v>515</v>
      </c>
      <c r="E107" s="134" t="s">
        <v>598</v>
      </c>
      <c r="F107" s="134" t="s">
        <v>85</v>
      </c>
      <c r="G107" s="352" t="s">
        <v>64</v>
      </c>
      <c r="H107" s="353"/>
      <c r="I107" s="137">
        <f>SUM(I86:I106)</f>
        <v>10662170.08</v>
      </c>
    </row>
    <row r="108" spans="1:9" s="218" customFormat="1" ht="23.25" thickBot="1" x14ac:dyDescent="0.3">
      <c r="A108" s="134" t="s">
        <v>217</v>
      </c>
      <c r="B108" s="132" t="s">
        <v>54</v>
      </c>
      <c r="C108" s="133" t="s">
        <v>55</v>
      </c>
      <c r="D108" s="134" t="s">
        <v>515</v>
      </c>
      <c r="E108" s="134" t="s">
        <v>598</v>
      </c>
      <c r="F108" s="134" t="s">
        <v>85</v>
      </c>
      <c r="G108" s="134" t="s">
        <v>635</v>
      </c>
      <c r="H108" s="134" t="s">
        <v>634</v>
      </c>
      <c r="I108" s="136">
        <v>670</v>
      </c>
    </row>
    <row r="109" spans="1:9" s="218" customFormat="1" ht="45.75" thickBot="1" x14ac:dyDescent="0.3">
      <c r="A109" s="134" t="s">
        <v>217</v>
      </c>
      <c r="B109" s="132" t="s">
        <v>54</v>
      </c>
      <c r="C109" s="133" t="s">
        <v>55</v>
      </c>
      <c r="D109" s="134" t="s">
        <v>515</v>
      </c>
      <c r="E109" s="134" t="s">
        <v>598</v>
      </c>
      <c r="F109" s="134" t="s">
        <v>85</v>
      </c>
      <c r="G109" s="134" t="s">
        <v>612</v>
      </c>
      <c r="H109" s="134" t="s">
        <v>611</v>
      </c>
      <c r="I109" s="135">
        <v>336.5</v>
      </c>
    </row>
    <row r="110" spans="1:9" s="218" customFormat="1" ht="23.25" thickBot="1" x14ac:dyDescent="0.3">
      <c r="A110" s="134" t="s">
        <v>217</v>
      </c>
      <c r="B110" s="132" t="s">
        <v>54</v>
      </c>
      <c r="C110" s="133" t="s">
        <v>55</v>
      </c>
      <c r="D110" s="134" t="s">
        <v>515</v>
      </c>
      <c r="E110" s="134" t="s">
        <v>598</v>
      </c>
      <c r="F110" s="134" t="s">
        <v>85</v>
      </c>
      <c r="G110" s="134" t="s">
        <v>610</v>
      </c>
      <c r="H110" s="134" t="s">
        <v>609</v>
      </c>
      <c r="I110" s="136">
        <v>1228099.1599999999</v>
      </c>
    </row>
    <row r="111" spans="1:9" s="218" customFormat="1" ht="23.25" thickBot="1" x14ac:dyDescent="0.3">
      <c r="A111" s="134" t="s">
        <v>217</v>
      </c>
      <c r="B111" s="132" t="s">
        <v>54</v>
      </c>
      <c r="C111" s="133" t="s">
        <v>55</v>
      </c>
      <c r="D111" s="134" t="s">
        <v>515</v>
      </c>
      <c r="E111" s="134" t="s">
        <v>598</v>
      </c>
      <c r="F111" s="134" t="s">
        <v>85</v>
      </c>
      <c r="G111" s="134" t="s">
        <v>230</v>
      </c>
      <c r="H111" s="134" t="s">
        <v>231</v>
      </c>
      <c r="I111" s="135">
        <v>44583.9</v>
      </c>
    </row>
    <row r="112" spans="1:9" s="218" customFormat="1" ht="23.25" thickBot="1" x14ac:dyDescent="0.3">
      <c r="A112" s="134" t="s">
        <v>217</v>
      </c>
      <c r="B112" s="132" t="s">
        <v>54</v>
      </c>
      <c r="C112" s="133" t="s">
        <v>55</v>
      </c>
      <c r="D112" s="134" t="s">
        <v>515</v>
      </c>
      <c r="E112" s="134" t="s">
        <v>598</v>
      </c>
      <c r="F112" s="134" t="s">
        <v>85</v>
      </c>
      <c r="G112" s="352" t="s">
        <v>64</v>
      </c>
      <c r="H112" s="353"/>
      <c r="I112" s="137">
        <f>SUM(I108:I111)</f>
        <v>1273689.5599999998</v>
      </c>
    </row>
    <row r="113" spans="1:9" s="218" customFormat="1" ht="23.25" thickBot="1" x14ac:dyDescent="0.3">
      <c r="A113" s="134" t="s">
        <v>217</v>
      </c>
      <c r="B113" s="132" t="s">
        <v>65</v>
      </c>
      <c r="C113" s="133" t="s">
        <v>26</v>
      </c>
      <c r="D113" s="134" t="s">
        <v>515</v>
      </c>
      <c r="E113" s="134" t="s">
        <v>598</v>
      </c>
      <c r="F113" s="134" t="s">
        <v>85</v>
      </c>
      <c r="G113" s="134" t="s">
        <v>381</v>
      </c>
      <c r="H113" s="134" t="s">
        <v>380</v>
      </c>
      <c r="I113" s="135">
        <v>382</v>
      </c>
    </row>
    <row r="114" spans="1:9" s="218" customFormat="1" ht="23.25" thickBot="1" x14ac:dyDescent="0.3">
      <c r="A114" s="134" t="s">
        <v>217</v>
      </c>
      <c r="B114" s="132" t="s">
        <v>65</v>
      </c>
      <c r="C114" s="133" t="s">
        <v>26</v>
      </c>
      <c r="D114" s="134" t="s">
        <v>515</v>
      </c>
      <c r="E114" s="134" t="s">
        <v>598</v>
      </c>
      <c r="F114" s="134" t="s">
        <v>85</v>
      </c>
      <c r="G114" s="134" t="s">
        <v>610</v>
      </c>
      <c r="H114" s="134" t="s">
        <v>609</v>
      </c>
      <c r="I114" s="136">
        <v>58870.68</v>
      </c>
    </row>
    <row r="115" spans="1:9" s="218" customFormat="1" ht="23.25" thickBot="1" x14ac:dyDescent="0.3">
      <c r="A115" s="134" t="s">
        <v>217</v>
      </c>
      <c r="B115" s="132" t="s">
        <v>65</v>
      </c>
      <c r="C115" s="133" t="s">
        <v>26</v>
      </c>
      <c r="D115" s="134" t="s">
        <v>515</v>
      </c>
      <c r="E115" s="134" t="s">
        <v>598</v>
      </c>
      <c r="F115" s="134" t="s">
        <v>85</v>
      </c>
      <c r="G115" s="134" t="s">
        <v>230</v>
      </c>
      <c r="H115" s="134" t="s">
        <v>231</v>
      </c>
      <c r="I115" s="135">
        <v>191</v>
      </c>
    </row>
    <row r="116" spans="1:9" s="218" customFormat="1" ht="23.25" thickBot="1" x14ac:dyDescent="0.3">
      <c r="A116" s="134" t="s">
        <v>217</v>
      </c>
      <c r="B116" s="132" t="s">
        <v>65</v>
      </c>
      <c r="C116" s="133" t="s">
        <v>26</v>
      </c>
      <c r="D116" s="134" t="s">
        <v>515</v>
      </c>
      <c r="E116" s="134" t="s">
        <v>598</v>
      </c>
      <c r="F116" s="134" t="s">
        <v>85</v>
      </c>
      <c r="G116" s="352" t="s">
        <v>64</v>
      </c>
      <c r="H116" s="353"/>
      <c r="I116" s="137">
        <v>59443.68</v>
      </c>
    </row>
    <row r="117" spans="1:9" s="218" customFormat="1" ht="34.5" thickBot="1" x14ac:dyDescent="0.3">
      <c r="A117" s="134" t="s">
        <v>217</v>
      </c>
      <c r="B117" s="132" t="s">
        <v>88</v>
      </c>
      <c r="C117" s="133" t="s">
        <v>87</v>
      </c>
      <c r="D117" s="134" t="s">
        <v>515</v>
      </c>
      <c r="E117" s="134" t="s">
        <v>598</v>
      </c>
      <c r="F117" s="134" t="s">
        <v>85</v>
      </c>
      <c r="G117" s="134" t="s">
        <v>610</v>
      </c>
      <c r="H117" s="134" t="s">
        <v>609</v>
      </c>
      <c r="I117" s="135">
        <v>343512.39</v>
      </c>
    </row>
    <row r="118" spans="1:9" s="218" customFormat="1" ht="34.5" thickBot="1" x14ac:dyDescent="0.3">
      <c r="A118" s="134" t="s">
        <v>217</v>
      </c>
      <c r="B118" s="132" t="s">
        <v>88</v>
      </c>
      <c r="C118" s="133" t="s">
        <v>87</v>
      </c>
      <c r="D118" s="134" t="s">
        <v>515</v>
      </c>
      <c r="E118" s="134" t="s">
        <v>598</v>
      </c>
      <c r="F118" s="134" t="s">
        <v>85</v>
      </c>
      <c r="G118" s="134" t="s">
        <v>230</v>
      </c>
      <c r="H118" s="134" t="s">
        <v>231</v>
      </c>
      <c r="I118" s="136">
        <v>12431</v>
      </c>
    </row>
    <row r="119" spans="1:9" s="218" customFormat="1" ht="34.5" thickBot="1" x14ac:dyDescent="0.3">
      <c r="A119" s="134" t="s">
        <v>217</v>
      </c>
      <c r="B119" s="132" t="s">
        <v>88</v>
      </c>
      <c r="C119" s="133" t="s">
        <v>87</v>
      </c>
      <c r="D119" s="134" t="s">
        <v>515</v>
      </c>
      <c r="E119" s="134" t="s">
        <v>598</v>
      </c>
      <c r="F119" s="134" t="s">
        <v>85</v>
      </c>
      <c r="G119" s="352" t="s">
        <v>64</v>
      </c>
      <c r="H119" s="353"/>
      <c r="I119" s="137">
        <v>355943.39</v>
      </c>
    </row>
    <row r="120" spans="1:9" s="218" customFormat="1" ht="45.75" thickBot="1" x14ac:dyDescent="0.3">
      <c r="A120" s="134" t="s">
        <v>217</v>
      </c>
      <c r="B120" s="132" t="s">
        <v>66</v>
      </c>
      <c r="C120" s="133" t="s">
        <v>67</v>
      </c>
      <c r="D120" s="134" t="s">
        <v>515</v>
      </c>
      <c r="E120" s="134" t="s">
        <v>598</v>
      </c>
      <c r="F120" s="134" t="s">
        <v>85</v>
      </c>
      <c r="G120" s="134" t="s">
        <v>614</v>
      </c>
      <c r="H120" s="134" t="s">
        <v>613</v>
      </c>
      <c r="I120" s="136">
        <v>0</v>
      </c>
    </row>
    <row r="121" spans="1:9" s="218" customFormat="1" ht="45.75" thickBot="1" x14ac:dyDescent="0.3">
      <c r="A121" s="134" t="s">
        <v>217</v>
      </c>
      <c r="B121" s="132" t="s">
        <v>66</v>
      </c>
      <c r="C121" s="133" t="s">
        <v>67</v>
      </c>
      <c r="D121" s="134" t="s">
        <v>515</v>
      </c>
      <c r="E121" s="134" t="s">
        <v>598</v>
      </c>
      <c r="F121" s="134" t="s">
        <v>85</v>
      </c>
      <c r="G121" s="134" t="s">
        <v>633</v>
      </c>
      <c r="H121" s="134" t="s">
        <v>632</v>
      </c>
      <c r="I121" s="135">
        <v>1101.95</v>
      </c>
    </row>
    <row r="122" spans="1:9" s="218" customFormat="1" ht="23.25" thickBot="1" x14ac:dyDescent="0.3">
      <c r="A122" s="134" t="s">
        <v>217</v>
      </c>
      <c r="B122" s="132" t="s">
        <v>66</v>
      </c>
      <c r="C122" s="133" t="s">
        <v>67</v>
      </c>
      <c r="D122" s="134" t="s">
        <v>515</v>
      </c>
      <c r="E122" s="134" t="s">
        <v>598</v>
      </c>
      <c r="F122" s="134" t="s">
        <v>85</v>
      </c>
      <c r="G122" s="134" t="s">
        <v>610</v>
      </c>
      <c r="H122" s="134" t="s">
        <v>609</v>
      </c>
      <c r="I122" s="136">
        <v>2064238.49</v>
      </c>
    </row>
    <row r="123" spans="1:9" s="218" customFormat="1" ht="45.75" thickBot="1" x14ac:dyDescent="0.3">
      <c r="A123" s="134" t="s">
        <v>217</v>
      </c>
      <c r="B123" s="132" t="s">
        <v>66</v>
      </c>
      <c r="C123" s="133" t="s">
        <v>67</v>
      </c>
      <c r="D123" s="134" t="s">
        <v>515</v>
      </c>
      <c r="E123" s="134" t="s">
        <v>598</v>
      </c>
      <c r="F123" s="134" t="s">
        <v>85</v>
      </c>
      <c r="G123" s="134" t="s">
        <v>631</v>
      </c>
      <c r="H123" s="134" t="s">
        <v>630</v>
      </c>
      <c r="I123" s="135">
        <v>7700</v>
      </c>
    </row>
    <row r="124" spans="1:9" s="218" customFormat="1" ht="23.25" thickBot="1" x14ac:dyDescent="0.3">
      <c r="A124" s="134" t="s">
        <v>217</v>
      </c>
      <c r="B124" s="132" t="s">
        <v>66</v>
      </c>
      <c r="C124" s="133" t="s">
        <v>67</v>
      </c>
      <c r="D124" s="134" t="s">
        <v>515</v>
      </c>
      <c r="E124" s="134" t="s">
        <v>598</v>
      </c>
      <c r="F124" s="134" t="s">
        <v>85</v>
      </c>
      <c r="G124" s="134" t="s">
        <v>230</v>
      </c>
      <c r="H124" s="134" t="s">
        <v>231</v>
      </c>
      <c r="I124" s="136">
        <v>125995</v>
      </c>
    </row>
    <row r="125" spans="1:9" s="218" customFormat="1" ht="23.25" thickBot="1" x14ac:dyDescent="0.3">
      <c r="A125" s="134" t="s">
        <v>217</v>
      </c>
      <c r="B125" s="132" t="s">
        <v>66</v>
      </c>
      <c r="C125" s="133" t="s">
        <v>67</v>
      </c>
      <c r="D125" s="134" t="s">
        <v>515</v>
      </c>
      <c r="E125" s="134" t="s">
        <v>598</v>
      </c>
      <c r="F125" s="134" t="s">
        <v>85</v>
      </c>
      <c r="G125" s="352" t="s">
        <v>64</v>
      </c>
      <c r="H125" s="353"/>
      <c r="I125" s="137">
        <f>SUM(I120:I124)</f>
        <v>2199035.44</v>
      </c>
    </row>
    <row r="126" spans="1:9" s="218" customFormat="1" ht="34.5" thickBot="1" x14ac:dyDescent="0.3">
      <c r="A126" s="134" t="s">
        <v>217</v>
      </c>
      <c r="B126" s="132" t="s">
        <v>72</v>
      </c>
      <c r="C126" s="133" t="s">
        <v>73</v>
      </c>
      <c r="D126" s="134" t="s">
        <v>515</v>
      </c>
      <c r="E126" s="134" t="s">
        <v>598</v>
      </c>
      <c r="F126" s="134" t="s">
        <v>85</v>
      </c>
      <c r="G126" s="134" t="s">
        <v>629</v>
      </c>
      <c r="H126" s="134" t="s">
        <v>628</v>
      </c>
      <c r="I126" s="136">
        <v>588.9</v>
      </c>
    </row>
    <row r="127" spans="1:9" s="218" customFormat="1" ht="23.25" thickBot="1" x14ac:dyDescent="0.3">
      <c r="A127" s="134" t="s">
        <v>217</v>
      </c>
      <c r="B127" s="132" t="s">
        <v>72</v>
      </c>
      <c r="C127" s="133" t="s">
        <v>73</v>
      </c>
      <c r="D127" s="134" t="s">
        <v>515</v>
      </c>
      <c r="E127" s="134" t="s">
        <v>598</v>
      </c>
      <c r="F127" s="134" t="s">
        <v>85</v>
      </c>
      <c r="G127" s="134" t="s">
        <v>610</v>
      </c>
      <c r="H127" s="134" t="s">
        <v>609</v>
      </c>
      <c r="I127" s="135">
        <v>1262309.1599999999</v>
      </c>
    </row>
    <row r="128" spans="1:9" s="218" customFormat="1" ht="23.25" thickBot="1" x14ac:dyDescent="0.3">
      <c r="A128" s="134" t="s">
        <v>217</v>
      </c>
      <c r="B128" s="132" t="s">
        <v>72</v>
      </c>
      <c r="C128" s="133" t="s">
        <v>73</v>
      </c>
      <c r="D128" s="134" t="s">
        <v>515</v>
      </c>
      <c r="E128" s="134" t="s">
        <v>598</v>
      </c>
      <c r="F128" s="134" t="s">
        <v>85</v>
      </c>
      <c r="G128" s="134" t="s">
        <v>230</v>
      </c>
      <c r="H128" s="134" t="s">
        <v>231</v>
      </c>
      <c r="I128" s="136">
        <v>16345.6</v>
      </c>
    </row>
    <row r="129" spans="1:9" s="218" customFormat="1" ht="23.25" thickBot="1" x14ac:dyDescent="0.3">
      <c r="A129" s="134" t="s">
        <v>217</v>
      </c>
      <c r="B129" s="132" t="s">
        <v>72</v>
      </c>
      <c r="C129" s="133" t="s">
        <v>73</v>
      </c>
      <c r="D129" s="134" t="s">
        <v>515</v>
      </c>
      <c r="E129" s="134" t="s">
        <v>598</v>
      </c>
      <c r="F129" s="134" t="s">
        <v>85</v>
      </c>
      <c r="G129" s="352" t="s">
        <v>64</v>
      </c>
      <c r="H129" s="353"/>
      <c r="I129" s="137">
        <f>SUM(I126:I128)</f>
        <v>1279243.6599999999</v>
      </c>
    </row>
    <row r="130" spans="1:9" s="218" customFormat="1" ht="45.75" thickBot="1" x14ac:dyDescent="0.3">
      <c r="A130" s="134" t="s">
        <v>217</v>
      </c>
      <c r="B130" s="132" t="s">
        <v>76</v>
      </c>
      <c r="C130" s="133" t="s">
        <v>77</v>
      </c>
      <c r="D130" s="134" t="s">
        <v>515</v>
      </c>
      <c r="E130" s="134" t="s">
        <v>598</v>
      </c>
      <c r="F130" s="134" t="s">
        <v>85</v>
      </c>
      <c r="G130" s="134" t="s">
        <v>614</v>
      </c>
      <c r="H130" s="134" t="s">
        <v>613</v>
      </c>
      <c r="I130" s="135">
        <v>230.12</v>
      </c>
    </row>
    <row r="131" spans="1:9" s="218" customFormat="1" ht="23.25" thickBot="1" x14ac:dyDescent="0.3">
      <c r="A131" s="134" t="s">
        <v>217</v>
      </c>
      <c r="B131" s="132" t="s">
        <v>76</v>
      </c>
      <c r="C131" s="133" t="s">
        <v>77</v>
      </c>
      <c r="D131" s="134" t="s">
        <v>515</v>
      </c>
      <c r="E131" s="134" t="s">
        <v>598</v>
      </c>
      <c r="F131" s="134" t="s">
        <v>85</v>
      </c>
      <c r="G131" s="134" t="s">
        <v>610</v>
      </c>
      <c r="H131" s="134" t="s">
        <v>609</v>
      </c>
      <c r="I131" s="136">
        <v>2810338.36</v>
      </c>
    </row>
    <row r="132" spans="1:9" s="218" customFormat="1" ht="45.75" thickBot="1" x14ac:dyDescent="0.3">
      <c r="A132" s="134" t="s">
        <v>217</v>
      </c>
      <c r="B132" s="132" t="s">
        <v>76</v>
      </c>
      <c r="C132" s="133" t="s">
        <v>77</v>
      </c>
      <c r="D132" s="134" t="s">
        <v>515</v>
      </c>
      <c r="E132" s="134" t="s">
        <v>598</v>
      </c>
      <c r="F132" s="134" t="s">
        <v>85</v>
      </c>
      <c r="G132" s="134" t="s">
        <v>608</v>
      </c>
      <c r="H132" s="134" t="s">
        <v>607</v>
      </c>
      <c r="I132" s="135">
        <v>785.2</v>
      </c>
    </row>
    <row r="133" spans="1:9" s="218" customFormat="1" ht="23.25" thickBot="1" x14ac:dyDescent="0.3">
      <c r="A133" s="134" t="s">
        <v>217</v>
      </c>
      <c r="B133" s="132" t="s">
        <v>76</v>
      </c>
      <c r="C133" s="133" t="s">
        <v>77</v>
      </c>
      <c r="D133" s="134" t="s">
        <v>515</v>
      </c>
      <c r="E133" s="134" t="s">
        <v>598</v>
      </c>
      <c r="F133" s="134" t="s">
        <v>85</v>
      </c>
      <c r="G133" s="134" t="s">
        <v>627</v>
      </c>
      <c r="H133" s="134" t="s">
        <v>626</v>
      </c>
      <c r="I133" s="136">
        <v>-2800</v>
      </c>
    </row>
    <row r="134" spans="1:9" s="218" customFormat="1" ht="23.25" thickBot="1" x14ac:dyDescent="0.3">
      <c r="A134" s="134" t="s">
        <v>217</v>
      </c>
      <c r="B134" s="132" t="s">
        <v>76</v>
      </c>
      <c r="C134" s="133" t="s">
        <v>77</v>
      </c>
      <c r="D134" s="134" t="s">
        <v>515</v>
      </c>
      <c r="E134" s="134" t="s">
        <v>598</v>
      </c>
      <c r="F134" s="134" t="s">
        <v>85</v>
      </c>
      <c r="G134" s="134" t="s">
        <v>625</v>
      </c>
      <c r="H134" s="134" t="s">
        <v>624</v>
      </c>
      <c r="I134" s="135">
        <v>1247.5</v>
      </c>
    </row>
    <row r="135" spans="1:9" s="218" customFormat="1" ht="34.5" thickBot="1" x14ac:dyDescent="0.3">
      <c r="A135" s="134" t="s">
        <v>217</v>
      </c>
      <c r="B135" s="132" t="s">
        <v>76</v>
      </c>
      <c r="C135" s="133" t="s">
        <v>77</v>
      </c>
      <c r="D135" s="134" t="s">
        <v>515</v>
      </c>
      <c r="E135" s="134" t="s">
        <v>598</v>
      </c>
      <c r="F135" s="134" t="s">
        <v>85</v>
      </c>
      <c r="G135" s="134" t="s">
        <v>623</v>
      </c>
      <c r="H135" s="134" t="s">
        <v>622</v>
      </c>
      <c r="I135" s="136">
        <v>3948</v>
      </c>
    </row>
    <row r="136" spans="1:9" s="218" customFormat="1" ht="23.25" thickBot="1" x14ac:dyDescent="0.3">
      <c r="A136" s="134" t="s">
        <v>217</v>
      </c>
      <c r="B136" s="132" t="s">
        <v>76</v>
      </c>
      <c r="C136" s="133" t="s">
        <v>77</v>
      </c>
      <c r="D136" s="134" t="s">
        <v>515</v>
      </c>
      <c r="E136" s="134" t="s">
        <v>598</v>
      </c>
      <c r="F136" s="134" t="s">
        <v>85</v>
      </c>
      <c r="G136" s="134" t="s">
        <v>230</v>
      </c>
      <c r="H136" s="134" t="s">
        <v>231</v>
      </c>
      <c r="I136" s="135">
        <v>-971387.6</v>
      </c>
    </row>
    <row r="137" spans="1:9" s="218" customFormat="1" ht="23.25" thickBot="1" x14ac:dyDescent="0.3">
      <c r="A137" s="134" t="s">
        <v>217</v>
      </c>
      <c r="B137" s="132" t="s">
        <v>76</v>
      </c>
      <c r="C137" s="133" t="s">
        <v>77</v>
      </c>
      <c r="D137" s="134" t="s">
        <v>515</v>
      </c>
      <c r="E137" s="134" t="s">
        <v>598</v>
      </c>
      <c r="F137" s="134" t="s">
        <v>85</v>
      </c>
      <c r="G137" s="352" t="s">
        <v>64</v>
      </c>
      <c r="H137" s="353"/>
      <c r="I137" s="137">
        <f>SUM(I130:I136)</f>
        <v>1842361.58</v>
      </c>
    </row>
    <row r="138" spans="1:9" s="218" customFormat="1" ht="23.25" thickBot="1" x14ac:dyDescent="0.3">
      <c r="A138" s="134" t="s">
        <v>217</v>
      </c>
      <c r="B138" s="132" t="s">
        <v>80</v>
      </c>
      <c r="C138" s="133" t="s">
        <v>24</v>
      </c>
      <c r="D138" s="134" t="s">
        <v>515</v>
      </c>
      <c r="E138" s="134" t="s">
        <v>598</v>
      </c>
      <c r="F138" s="134" t="s">
        <v>85</v>
      </c>
      <c r="G138" s="134" t="s">
        <v>621</v>
      </c>
      <c r="H138" s="134" t="s">
        <v>620</v>
      </c>
      <c r="I138" s="135">
        <v>917.73</v>
      </c>
    </row>
    <row r="139" spans="1:9" s="218" customFormat="1" ht="23.25" thickBot="1" x14ac:dyDescent="0.3">
      <c r="A139" s="134" t="s">
        <v>217</v>
      </c>
      <c r="B139" s="132" t="s">
        <v>80</v>
      </c>
      <c r="C139" s="133" t="s">
        <v>24</v>
      </c>
      <c r="D139" s="134" t="s">
        <v>515</v>
      </c>
      <c r="E139" s="134" t="s">
        <v>598</v>
      </c>
      <c r="F139" s="134" t="s">
        <v>85</v>
      </c>
      <c r="G139" s="134" t="s">
        <v>619</v>
      </c>
      <c r="H139" s="134" t="s">
        <v>492</v>
      </c>
      <c r="I139" s="136">
        <v>1725.6</v>
      </c>
    </row>
    <row r="140" spans="1:9" s="218" customFormat="1" ht="34.5" thickBot="1" x14ac:dyDescent="0.3">
      <c r="A140" s="134" t="s">
        <v>217</v>
      </c>
      <c r="B140" s="132" t="s">
        <v>80</v>
      </c>
      <c r="C140" s="133" t="s">
        <v>24</v>
      </c>
      <c r="D140" s="134" t="s">
        <v>515</v>
      </c>
      <c r="E140" s="134" t="s">
        <v>598</v>
      </c>
      <c r="F140" s="134" t="s">
        <v>85</v>
      </c>
      <c r="G140" s="134" t="s">
        <v>618</v>
      </c>
      <c r="H140" s="134" t="s">
        <v>617</v>
      </c>
      <c r="I140" s="135">
        <v>-349</v>
      </c>
    </row>
    <row r="141" spans="1:9" s="218" customFormat="1" ht="23.25" thickBot="1" x14ac:dyDescent="0.3">
      <c r="A141" s="134" t="s">
        <v>217</v>
      </c>
      <c r="B141" s="132" t="s">
        <v>80</v>
      </c>
      <c r="C141" s="133" t="s">
        <v>24</v>
      </c>
      <c r="D141" s="134" t="s">
        <v>515</v>
      </c>
      <c r="E141" s="134" t="s">
        <v>598</v>
      </c>
      <c r="F141" s="134" t="s">
        <v>85</v>
      </c>
      <c r="G141" s="134" t="s">
        <v>616</v>
      </c>
      <c r="H141" s="134" t="s">
        <v>615</v>
      </c>
      <c r="I141" s="136">
        <v>1597.5</v>
      </c>
    </row>
    <row r="142" spans="1:9" s="218" customFormat="1" ht="45.75" thickBot="1" x14ac:dyDescent="0.3">
      <c r="A142" s="134" t="s">
        <v>217</v>
      </c>
      <c r="B142" s="132" t="s">
        <v>80</v>
      </c>
      <c r="C142" s="133" t="s">
        <v>24</v>
      </c>
      <c r="D142" s="134" t="s">
        <v>515</v>
      </c>
      <c r="E142" s="134" t="s">
        <v>598</v>
      </c>
      <c r="F142" s="134" t="s">
        <v>85</v>
      </c>
      <c r="G142" s="134" t="s">
        <v>614</v>
      </c>
      <c r="H142" s="134" t="s">
        <v>613</v>
      </c>
      <c r="I142" s="135">
        <v>403.99</v>
      </c>
    </row>
    <row r="143" spans="1:9" s="218" customFormat="1" ht="45.75" thickBot="1" x14ac:dyDescent="0.3">
      <c r="A143" s="134" t="s">
        <v>217</v>
      </c>
      <c r="B143" s="132" t="s">
        <v>80</v>
      </c>
      <c r="C143" s="133" t="s">
        <v>24</v>
      </c>
      <c r="D143" s="134" t="s">
        <v>515</v>
      </c>
      <c r="E143" s="134" t="s">
        <v>598</v>
      </c>
      <c r="F143" s="134" t="s">
        <v>85</v>
      </c>
      <c r="G143" s="134" t="s">
        <v>612</v>
      </c>
      <c r="H143" s="134" t="s">
        <v>611</v>
      </c>
      <c r="I143" s="136">
        <v>4388</v>
      </c>
    </row>
    <row r="144" spans="1:9" s="218" customFormat="1" ht="23.25" thickBot="1" x14ac:dyDescent="0.3">
      <c r="A144" s="134" t="s">
        <v>217</v>
      </c>
      <c r="B144" s="132" t="s">
        <v>80</v>
      </c>
      <c r="C144" s="133" t="s">
        <v>24</v>
      </c>
      <c r="D144" s="134" t="s">
        <v>515</v>
      </c>
      <c r="E144" s="134" t="s">
        <v>598</v>
      </c>
      <c r="F144" s="134" t="s">
        <v>85</v>
      </c>
      <c r="G144" s="134" t="s">
        <v>610</v>
      </c>
      <c r="H144" s="134" t="s">
        <v>609</v>
      </c>
      <c r="I144" s="135">
        <v>3625202.63</v>
      </c>
    </row>
    <row r="145" spans="1:9" s="218" customFormat="1" ht="45.75" thickBot="1" x14ac:dyDescent="0.3">
      <c r="A145" s="134" t="s">
        <v>217</v>
      </c>
      <c r="B145" s="132" t="s">
        <v>80</v>
      </c>
      <c r="C145" s="133" t="s">
        <v>24</v>
      </c>
      <c r="D145" s="134" t="s">
        <v>515</v>
      </c>
      <c r="E145" s="134" t="s">
        <v>598</v>
      </c>
      <c r="F145" s="134" t="s">
        <v>85</v>
      </c>
      <c r="G145" s="134" t="s">
        <v>608</v>
      </c>
      <c r="H145" s="134" t="s">
        <v>607</v>
      </c>
      <c r="I145" s="135">
        <v>392.6</v>
      </c>
    </row>
    <row r="146" spans="1:9" s="218" customFormat="1" ht="23.25" thickBot="1" x14ac:dyDescent="0.3">
      <c r="A146" s="134" t="s">
        <v>217</v>
      </c>
      <c r="B146" s="132" t="s">
        <v>80</v>
      </c>
      <c r="C146" s="133" t="s">
        <v>24</v>
      </c>
      <c r="D146" s="134" t="s">
        <v>515</v>
      </c>
      <c r="E146" s="134" t="s">
        <v>598</v>
      </c>
      <c r="F146" s="134" t="s">
        <v>85</v>
      </c>
      <c r="G146" s="134" t="s">
        <v>606</v>
      </c>
      <c r="H146" s="134" t="s">
        <v>605</v>
      </c>
      <c r="I146" s="136">
        <v>1338.72</v>
      </c>
    </row>
    <row r="147" spans="1:9" s="218" customFormat="1" ht="45.75" thickBot="1" x14ac:dyDescent="0.3">
      <c r="A147" s="134" t="s">
        <v>217</v>
      </c>
      <c r="B147" s="132" t="s">
        <v>80</v>
      </c>
      <c r="C147" s="133" t="s">
        <v>24</v>
      </c>
      <c r="D147" s="134" t="s">
        <v>515</v>
      </c>
      <c r="E147" s="134" t="s">
        <v>598</v>
      </c>
      <c r="F147" s="134" t="s">
        <v>85</v>
      </c>
      <c r="G147" s="134" t="s">
        <v>604</v>
      </c>
      <c r="H147" s="134" t="s">
        <v>603</v>
      </c>
      <c r="I147" s="135">
        <v>8216</v>
      </c>
    </row>
    <row r="148" spans="1:9" s="218" customFormat="1" ht="23.25" thickBot="1" x14ac:dyDescent="0.3">
      <c r="A148" s="134" t="s">
        <v>217</v>
      </c>
      <c r="B148" s="132" t="s">
        <v>80</v>
      </c>
      <c r="C148" s="133" t="s">
        <v>24</v>
      </c>
      <c r="D148" s="134" t="s">
        <v>515</v>
      </c>
      <c r="E148" s="134" t="s">
        <v>598</v>
      </c>
      <c r="F148" s="134" t="s">
        <v>85</v>
      </c>
      <c r="G148" s="134" t="s">
        <v>602</v>
      </c>
      <c r="H148" s="134" t="s">
        <v>601</v>
      </c>
      <c r="I148" s="136">
        <v>1337</v>
      </c>
    </row>
    <row r="149" spans="1:9" s="218" customFormat="1" ht="34.5" thickBot="1" x14ac:dyDescent="0.3">
      <c r="A149" s="134" t="s">
        <v>217</v>
      </c>
      <c r="B149" s="132" t="s">
        <v>80</v>
      </c>
      <c r="C149" s="133" t="s">
        <v>24</v>
      </c>
      <c r="D149" s="134" t="s">
        <v>515</v>
      </c>
      <c r="E149" s="134" t="s">
        <v>598</v>
      </c>
      <c r="F149" s="134" t="s">
        <v>85</v>
      </c>
      <c r="G149" s="134" t="s">
        <v>600</v>
      </c>
      <c r="H149" s="134" t="s">
        <v>599</v>
      </c>
      <c r="I149" s="135">
        <v>6948</v>
      </c>
    </row>
    <row r="150" spans="1:9" s="218" customFormat="1" ht="23.25" thickBot="1" x14ac:dyDescent="0.3">
      <c r="A150" s="134" t="s">
        <v>217</v>
      </c>
      <c r="B150" s="132" t="s">
        <v>80</v>
      </c>
      <c r="C150" s="133" t="s">
        <v>24</v>
      </c>
      <c r="D150" s="134" t="s">
        <v>515</v>
      </c>
      <c r="E150" s="134" t="s">
        <v>598</v>
      </c>
      <c r="F150" s="134" t="s">
        <v>85</v>
      </c>
      <c r="G150" s="134" t="s">
        <v>230</v>
      </c>
      <c r="H150" s="134" t="s">
        <v>231</v>
      </c>
      <c r="I150" s="136">
        <v>334</v>
      </c>
    </row>
    <row r="151" spans="1:9" s="218" customFormat="1" ht="23.25" thickBot="1" x14ac:dyDescent="0.3">
      <c r="A151" s="134" t="s">
        <v>217</v>
      </c>
      <c r="B151" s="132" t="s">
        <v>80</v>
      </c>
      <c r="C151" s="133" t="s">
        <v>24</v>
      </c>
      <c r="D151" s="134" t="s">
        <v>515</v>
      </c>
      <c r="E151" s="134" t="s">
        <v>598</v>
      </c>
      <c r="F151" s="134" t="s">
        <v>85</v>
      </c>
      <c r="G151" s="352" t="s">
        <v>64</v>
      </c>
      <c r="H151" s="353"/>
      <c r="I151" s="137">
        <f>SUM(I138:I150)</f>
        <v>3652452.77</v>
      </c>
    </row>
    <row r="152" spans="1:9" s="218" customFormat="1" ht="15.75" thickBot="1" x14ac:dyDescent="0.3">
      <c r="A152" s="352" t="s">
        <v>104</v>
      </c>
      <c r="B152" s="354"/>
      <c r="C152" s="354"/>
      <c r="D152" s="354"/>
      <c r="E152" s="354"/>
      <c r="F152" s="354"/>
      <c r="G152" s="354"/>
      <c r="H152" s="353"/>
      <c r="I152" s="137">
        <f>+I107</f>
        <v>10662170.08</v>
      </c>
    </row>
    <row r="153" spans="1:9" s="218" customFormat="1" x14ac:dyDescent="0.25"/>
    <row r="154" spans="1:9" s="218" customFormat="1" x14ac:dyDescent="0.25"/>
    <row r="155" spans="1:9" ht="15.75" thickBot="1" x14ac:dyDescent="0.3">
      <c r="A155" s="80" t="s">
        <v>161</v>
      </c>
      <c r="B155" s="218"/>
      <c r="C155" s="218"/>
      <c r="D155" s="218"/>
      <c r="E155" s="218"/>
      <c r="F155" s="218"/>
      <c r="G155" s="218"/>
      <c r="H155" s="218"/>
      <c r="I155" s="218"/>
    </row>
    <row r="156" spans="1:9" ht="15.75" thickBot="1" x14ac:dyDescent="0.3">
      <c r="A156" s="213"/>
      <c r="B156" s="140"/>
      <c r="C156" s="134" t="s">
        <v>95</v>
      </c>
      <c r="D156" s="218"/>
      <c r="E156" s="218"/>
      <c r="F156" s="218"/>
      <c r="G156" s="218"/>
      <c r="H156" s="218"/>
      <c r="I156" s="218"/>
    </row>
    <row r="157" spans="1:9" ht="15.75" thickBot="1" x14ac:dyDescent="0.3">
      <c r="A157" s="134" t="s">
        <v>94</v>
      </c>
      <c r="B157" s="141"/>
      <c r="C157" s="140" t="s">
        <v>91</v>
      </c>
      <c r="D157" s="218"/>
      <c r="E157" s="218"/>
      <c r="F157" s="218"/>
      <c r="G157" s="218"/>
      <c r="H157" s="218"/>
      <c r="I157" s="218"/>
    </row>
    <row r="158" spans="1:9" ht="34.5" customHeight="1" thickBot="1" x14ac:dyDescent="0.3">
      <c r="A158" s="139" t="s">
        <v>90</v>
      </c>
      <c r="B158" s="139" t="s">
        <v>89</v>
      </c>
      <c r="C158" s="136">
        <f>SUM(C159:C166)</f>
        <v>-1667185.2599999998</v>
      </c>
      <c r="D158" s="218"/>
      <c r="E158" s="218"/>
      <c r="F158" s="218"/>
      <c r="G158" s="218"/>
      <c r="H158" s="218"/>
      <c r="I158" s="218"/>
    </row>
    <row r="159" spans="1:9" ht="23.25" customHeight="1" thickBot="1" x14ac:dyDescent="0.3">
      <c r="A159" s="132" t="s">
        <v>54</v>
      </c>
      <c r="B159" s="133" t="s">
        <v>55</v>
      </c>
      <c r="C159" s="135">
        <v>-130</v>
      </c>
      <c r="D159" s="218"/>
      <c r="E159" s="218"/>
      <c r="F159" s="218"/>
      <c r="G159" s="218"/>
      <c r="H159" s="218"/>
      <c r="I159" s="218"/>
    </row>
    <row r="160" spans="1:9" ht="23.25" customHeight="1" thickBot="1" x14ac:dyDescent="0.3">
      <c r="A160" s="132" t="s">
        <v>65</v>
      </c>
      <c r="B160" s="133" t="s">
        <v>26</v>
      </c>
      <c r="C160" s="136">
        <v>0</v>
      </c>
      <c r="D160" s="218"/>
      <c r="E160" s="218"/>
      <c r="F160" s="218"/>
      <c r="G160" s="218"/>
      <c r="H160" s="218"/>
      <c r="I160" s="218"/>
    </row>
    <row r="161" spans="1:10" ht="34.5" customHeight="1" thickBot="1" x14ac:dyDescent="0.3">
      <c r="A161" s="132" t="s">
        <v>88</v>
      </c>
      <c r="B161" s="133" t="s">
        <v>87</v>
      </c>
      <c r="C161" s="135">
        <v>-2050338.06</v>
      </c>
      <c r="D161" s="218"/>
      <c r="E161" s="218"/>
      <c r="F161" s="218"/>
      <c r="G161" s="218"/>
      <c r="H161" s="218"/>
      <c r="I161" s="218"/>
    </row>
    <row r="162" spans="1:10" ht="23.25" customHeight="1" thickBot="1" x14ac:dyDescent="0.3">
      <c r="A162" s="132" t="s">
        <v>66</v>
      </c>
      <c r="B162" s="133" t="s">
        <v>67</v>
      </c>
      <c r="C162" s="136">
        <v>626805.03</v>
      </c>
      <c r="D162" s="218"/>
      <c r="E162" s="218"/>
      <c r="F162" s="218"/>
      <c r="G162" s="218"/>
      <c r="H162" s="218"/>
      <c r="I162" s="218"/>
    </row>
    <row r="163" spans="1:10" ht="15.75" thickBot="1" x14ac:dyDescent="0.3">
      <c r="A163" s="132" t="s">
        <v>72</v>
      </c>
      <c r="B163" s="133" t="s">
        <v>73</v>
      </c>
      <c r="C163" s="135">
        <v>492.78</v>
      </c>
      <c r="D163" s="218"/>
      <c r="E163" s="218"/>
      <c r="F163" s="218"/>
      <c r="G163" s="218"/>
      <c r="H163" s="218"/>
      <c r="I163" s="218"/>
    </row>
    <row r="164" spans="1:10" ht="23.25" thickBot="1" x14ac:dyDescent="0.3">
      <c r="A164" s="132" t="s">
        <v>76</v>
      </c>
      <c r="B164" s="133" t="s">
        <v>77</v>
      </c>
      <c r="C164" s="136">
        <v>134452.59</v>
      </c>
      <c r="D164" s="218"/>
      <c r="E164" s="218"/>
      <c r="F164" s="218"/>
      <c r="G164" s="218"/>
      <c r="H164" s="218"/>
      <c r="I164" s="218"/>
    </row>
    <row r="165" spans="1:10" ht="23.25" customHeight="1" thickBot="1" x14ac:dyDescent="0.3">
      <c r="A165" s="132" t="s">
        <v>80</v>
      </c>
      <c r="B165" s="133" t="s">
        <v>24</v>
      </c>
      <c r="C165" s="135">
        <v>-378467.6</v>
      </c>
      <c r="D165" s="218"/>
      <c r="E165" s="218"/>
      <c r="F165" s="218"/>
      <c r="G165" s="218"/>
      <c r="H165" s="218"/>
      <c r="I165" s="218"/>
    </row>
    <row r="166" spans="1:10" ht="34.5" customHeight="1" thickBot="1" x14ac:dyDescent="0.3">
      <c r="A166" s="132" t="s">
        <v>81</v>
      </c>
      <c r="B166" s="133" t="s">
        <v>82</v>
      </c>
      <c r="C166" s="135">
        <v>0</v>
      </c>
      <c r="D166" s="218"/>
      <c r="E166" s="218"/>
      <c r="F166" s="218"/>
      <c r="G166" s="218"/>
      <c r="H166" s="218"/>
      <c r="I166" s="218"/>
    </row>
    <row r="167" spans="1:10" x14ac:dyDescent="0.25">
      <c r="A167" s="218"/>
      <c r="B167" s="218"/>
      <c r="C167" s="218"/>
      <c r="D167" s="218"/>
      <c r="E167" s="218"/>
      <c r="F167" s="218"/>
      <c r="G167" s="218"/>
      <c r="H167" s="218"/>
      <c r="I167" s="218"/>
    </row>
    <row r="168" spans="1:10" ht="15.75" thickBot="1" x14ac:dyDescent="0.3">
      <c r="A168" s="80" t="s">
        <v>377</v>
      </c>
      <c r="B168" s="218"/>
      <c r="C168" s="218"/>
      <c r="D168" s="218"/>
      <c r="E168" s="218"/>
      <c r="F168" s="218"/>
      <c r="G168" s="218"/>
      <c r="H168" s="218"/>
      <c r="I168" s="218"/>
    </row>
    <row r="169" spans="1:10" ht="15.75" thickBot="1" x14ac:dyDescent="0.3">
      <c r="A169" s="347"/>
      <c r="B169" s="348"/>
      <c r="C169" s="348"/>
      <c r="D169" s="348"/>
      <c r="E169" s="348"/>
      <c r="F169" s="348"/>
      <c r="G169" s="348"/>
      <c r="H169" s="349"/>
      <c r="I169" s="140"/>
      <c r="J169" s="134" t="s">
        <v>95</v>
      </c>
    </row>
    <row r="170" spans="1:10" ht="15.75" thickBot="1" x14ac:dyDescent="0.3">
      <c r="A170" s="350" t="s">
        <v>94</v>
      </c>
      <c r="B170" s="351"/>
      <c r="C170" s="350" t="s">
        <v>105</v>
      </c>
      <c r="D170" s="351"/>
      <c r="E170" s="350" t="s">
        <v>228</v>
      </c>
      <c r="F170" s="351"/>
      <c r="G170" s="350" t="s">
        <v>209</v>
      </c>
      <c r="H170" s="351"/>
      <c r="I170" s="134" t="s">
        <v>229</v>
      </c>
      <c r="J170" s="140" t="s">
        <v>91</v>
      </c>
    </row>
    <row r="171" spans="1:10" ht="34.5" thickBot="1" x14ac:dyDescent="0.3">
      <c r="A171" s="139" t="s">
        <v>90</v>
      </c>
      <c r="B171" s="139" t="s">
        <v>89</v>
      </c>
      <c r="C171" s="134" t="s">
        <v>106</v>
      </c>
      <c r="D171" s="134" t="s">
        <v>107</v>
      </c>
      <c r="E171" s="134" t="s">
        <v>230</v>
      </c>
      <c r="F171" s="134" t="s">
        <v>231</v>
      </c>
      <c r="G171" s="134" t="s">
        <v>232</v>
      </c>
      <c r="H171" s="134" t="s">
        <v>233</v>
      </c>
      <c r="I171" s="134" t="s">
        <v>234</v>
      </c>
      <c r="J171" s="136">
        <v>567846.94999999995</v>
      </c>
    </row>
    <row r="172" spans="1:10" ht="23.25" thickBot="1" x14ac:dyDescent="0.3">
      <c r="A172" s="139" t="s">
        <v>90</v>
      </c>
      <c r="B172" s="139" t="s">
        <v>89</v>
      </c>
      <c r="C172" s="134" t="s">
        <v>106</v>
      </c>
      <c r="D172" s="134" t="s">
        <v>107</v>
      </c>
      <c r="E172" s="134" t="s">
        <v>230</v>
      </c>
      <c r="F172" s="134" t="s">
        <v>231</v>
      </c>
      <c r="G172" s="134" t="s">
        <v>232</v>
      </c>
      <c r="H172" s="134" t="s">
        <v>233</v>
      </c>
      <c r="I172" s="134" t="s">
        <v>235</v>
      </c>
      <c r="J172" s="135">
        <v>4205148.1500000004</v>
      </c>
    </row>
    <row r="173" spans="1:10" ht="23.25" thickBot="1" x14ac:dyDescent="0.3">
      <c r="A173" s="139" t="s">
        <v>90</v>
      </c>
      <c r="B173" s="139" t="s">
        <v>89</v>
      </c>
      <c r="C173" s="134" t="s">
        <v>106</v>
      </c>
      <c r="D173" s="134" t="s">
        <v>107</v>
      </c>
      <c r="E173" s="134" t="s">
        <v>230</v>
      </c>
      <c r="F173" s="134" t="s">
        <v>231</v>
      </c>
      <c r="G173" s="134" t="s">
        <v>232</v>
      </c>
      <c r="H173" s="134" t="s">
        <v>233</v>
      </c>
      <c r="I173" s="143" t="s">
        <v>64</v>
      </c>
      <c r="J173" s="137">
        <f>SUM(J171:J172)</f>
        <v>4772995.1000000006</v>
      </c>
    </row>
    <row r="174" spans="1:10" ht="23.25" thickBot="1" x14ac:dyDescent="0.3">
      <c r="A174" s="139" t="s">
        <v>90</v>
      </c>
      <c r="B174" s="139" t="s">
        <v>89</v>
      </c>
      <c r="C174" s="134" t="s">
        <v>116</v>
      </c>
      <c r="D174" s="134" t="s">
        <v>26</v>
      </c>
      <c r="E174" s="134" t="s">
        <v>236</v>
      </c>
      <c r="F174" s="134" t="s">
        <v>237</v>
      </c>
      <c r="G174" s="134" t="s">
        <v>232</v>
      </c>
      <c r="H174" s="134" t="s">
        <v>233</v>
      </c>
      <c r="I174" s="134" t="s">
        <v>235</v>
      </c>
      <c r="J174" s="136">
        <v>342007.78</v>
      </c>
    </row>
    <row r="175" spans="1:10" ht="34.5" thickBot="1" x14ac:dyDescent="0.3">
      <c r="A175" s="139" t="s">
        <v>90</v>
      </c>
      <c r="B175" s="139" t="s">
        <v>89</v>
      </c>
      <c r="C175" s="134" t="s">
        <v>116</v>
      </c>
      <c r="D175" s="134" t="s">
        <v>26</v>
      </c>
      <c r="E175" s="134" t="s">
        <v>236</v>
      </c>
      <c r="F175" s="134" t="s">
        <v>237</v>
      </c>
      <c r="G175" s="134" t="s">
        <v>232</v>
      </c>
      <c r="H175" s="134" t="s">
        <v>233</v>
      </c>
      <c r="I175" s="134" t="s">
        <v>238</v>
      </c>
      <c r="J175" s="135">
        <v>68867.149999999994</v>
      </c>
    </row>
    <row r="176" spans="1:10" ht="45.75" thickBot="1" x14ac:dyDescent="0.3">
      <c r="A176" s="139" t="s">
        <v>90</v>
      </c>
      <c r="B176" s="139" t="s">
        <v>89</v>
      </c>
      <c r="C176" s="134" t="s">
        <v>116</v>
      </c>
      <c r="D176" s="134" t="s">
        <v>26</v>
      </c>
      <c r="E176" s="134" t="s">
        <v>236</v>
      </c>
      <c r="F176" s="134" t="s">
        <v>237</v>
      </c>
      <c r="G176" s="134" t="s">
        <v>232</v>
      </c>
      <c r="H176" s="134" t="s">
        <v>233</v>
      </c>
      <c r="I176" s="134" t="s">
        <v>239</v>
      </c>
      <c r="J176" s="136">
        <v>38420.400000000001</v>
      </c>
    </row>
    <row r="177" spans="1:10" ht="34.5" thickBot="1" x14ac:dyDescent="0.3">
      <c r="A177" s="139" t="s">
        <v>90</v>
      </c>
      <c r="B177" s="139" t="s">
        <v>89</v>
      </c>
      <c r="C177" s="134" t="s">
        <v>116</v>
      </c>
      <c r="D177" s="134" t="s">
        <v>26</v>
      </c>
      <c r="E177" s="134" t="s">
        <v>236</v>
      </c>
      <c r="F177" s="134" t="s">
        <v>237</v>
      </c>
      <c r="G177" s="134" t="s">
        <v>232</v>
      </c>
      <c r="H177" s="134" t="s">
        <v>233</v>
      </c>
      <c r="I177" s="134" t="s">
        <v>240</v>
      </c>
      <c r="J177" s="135">
        <v>66579.240000000005</v>
      </c>
    </row>
    <row r="178" spans="1:10" ht="34.5" thickBot="1" x14ac:dyDescent="0.3">
      <c r="A178" s="139" t="s">
        <v>90</v>
      </c>
      <c r="B178" s="139" t="s">
        <v>89</v>
      </c>
      <c r="C178" s="134" t="s">
        <v>116</v>
      </c>
      <c r="D178" s="134" t="s">
        <v>26</v>
      </c>
      <c r="E178" s="134" t="s">
        <v>236</v>
      </c>
      <c r="F178" s="134" t="s">
        <v>237</v>
      </c>
      <c r="G178" s="134" t="s">
        <v>232</v>
      </c>
      <c r="H178" s="134" t="s">
        <v>233</v>
      </c>
      <c r="I178" s="134" t="s">
        <v>241</v>
      </c>
      <c r="J178" s="136">
        <v>63191.35</v>
      </c>
    </row>
    <row r="179" spans="1:10" ht="34.5" thickBot="1" x14ac:dyDescent="0.3">
      <c r="A179" s="139" t="s">
        <v>90</v>
      </c>
      <c r="B179" s="139" t="s">
        <v>89</v>
      </c>
      <c r="C179" s="134" t="s">
        <v>116</v>
      </c>
      <c r="D179" s="134" t="s">
        <v>26</v>
      </c>
      <c r="E179" s="134" t="s">
        <v>236</v>
      </c>
      <c r="F179" s="134" t="s">
        <v>237</v>
      </c>
      <c r="G179" s="134" t="s">
        <v>232</v>
      </c>
      <c r="H179" s="134" t="s">
        <v>233</v>
      </c>
      <c r="I179" s="134" t="s">
        <v>242</v>
      </c>
      <c r="J179" s="135">
        <v>40110.54</v>
      </c>
    </row>
    <row r="180" spans="1:10" ht="34.5" thickBot="1" x14ac:dyDescent="0.3">
      <c r="A180" s="139" t="s">
        <v>90</v>
      </c>
      <c r="B180" s="139" t="s">
        <v>89</v>
      </c>
      <c r="C180" s="134" t="s">
        <v>116</v>
      </c>
      <c r="D180" s="134" t="s">
        <v>26</v>
      </c>
      <c r="E180" s="134" t="s">
        <v>236</v>
      </c>
      <c r="F180" s="134" t="s">
        <v>237</v>
      </c>
      <c r="G180" s="134" t="s">
        <v>232</v>
      </c>
      <c r="H180" s="134" t="s">
        <v>233</v>
      </c>
      <c r="I180" s="134" t="s">
        <v>243</v>
      </c>
      <c r="J180" s="136">
        <v>74959.02</v>
      </c>
    </row>
    <row r="181" spans="1:10" ht="34.5" thickBot="1" x14ac:dyDescent="0.3">
      <c r="A181" s="139" t="s">
        <v>90</v>
      </c>
      <c r="B181" s="139" t="s">
        <v>89</v>
      </c>
      <c r="C181" s="134" t="s">
        <v>116</v>
      </c>
      <c r="D181" s="134" t="s">
        <v>26</v>
      </c>
      <c r="E181" s="134" t="s">
        <v>236</v>
      </c>
      <c r="F181" s="134" t="s">
        <v>237</v>
      </c>
      <c r="G181" s="134" t="s">
        <v>232</v>
      </c>
      <c r="H181" s="134" t="s">
        <v>233</v>
      </c>
      <c r="I181" s="134" t="s">
        <v>244</v>
      </c>
      <c r="J181" s="135">
        <v>35489.72</v>
      </c>
    </row>
    <row r="182" spans="1:10" ht="23.25" thickBot="1" x14ac:dyDescent="0.3">
      <c r="A182" s="139" t="s">
        <v>90</v>
      </c>
      <c r="B182" s="139" t="s">
        <v>89</v>
      </c>
      <c r="C182" s="134" t="s">
        <v>116</v>
      </c>
      <c r="D182" s="134" t="s">
        <v>26</v>
      </c>
      <c r="E182" s="134" t="s">
        <v>236</v>
      </c>
      <c r="F182" s="134" t="s">
        <v>237</v>
      </c>
      <c r="G182" s="134" t="s">
        <v>232</v>
      </c>
      <c r="H182" s="134" t="s">
        <v>233</v>
      </c>
      <c r="I182" s="143" t="s">
        <v>64</v>
      </c>
      <c r="J182" s="137">
        <f>SUM(J174:J181)</f>
        <v>729625.20000000007</v>
      </c>
    </row>
    <row r="183" spans="1:10" ht="34.5" thickBot="1" x14ac:dyDescent="0.3">
      <c r="A183" s="139" t="s">
        <v>90</v>
      </c>
      <c r="B183" s="139" t="s">
        <v>89</v>
      </c>
      <c r="C183" s="134" t="s">
        <v>121</v>
      </c>
      <c r="D183" s="134" t="s">
        <v>122</v>
      </c>
      <c r="E183" s="134" t="s">
        <v>245</v>
      </c>
      <c r="F183" s="134" t="s">
        <v>246</v>
      </c>
      <c r="G183" s="134" t="s">
        <v>232</v>
      </c>
      <c r="H183" s="134" t="s">
        <v>233</v>
      </c>
      <c r="I183" s="134" t="s">
        <v>247</v>
      </c>
      <c r="J183" s="135">
        <v>288463.8</v>
      </c>
    </row>
    <row r="184" spans="1:10" ht="45.75" thickBot="1" x14ac:dyDescent="0.3">
      <c r="A184" s="139" t="s">
        <v>90</v>
      </c>
      <c r="B184" s="139" t="s">
        <v>89</v>
      </c>
      <c r="C184" s="134" t="s">
        <v>121</v>
      </c>
      <c r="D184" s="134" t="s">
        <v>122</v>
      </c>
      <c r="E184" s="134" t="s">
        <v>245</v>
      </c>
      <c r="F184" s="134" t="s">
        <v>246</v>
      </c>
      <c r="G184" s="134" t="s">
        <v>232</v>
      </c>
      <c r="H184" s="134" t="s">
        <v>233</v>
      </c>
      <c r="I184" s="134" t="s">
        <v>248</v>
      </c>
      <c r="J184" s="136">
        <v>38180.49</v>
      </c>
    </row>
    <row r="185" spans="1:10" ht="45.75" thickBot="1" x14ac:dyDescent="0.3">
      <c r="A185" s="139" t="s">
        <v>90</v>
      </c>
      <c r="B185" s="139" t="s">
        <v>89</v>
      </c>
      <c r="C185" s="134" t="s">
        <v>121</v>
      </c>
      <c r="D185" s="134" t="s">
        <v>122</v>
      </c>
      <c r="E185" s="134" t="s">
        <v>245</v>
      </c>
      <c r="F185" s="134" t="s">
        <v>246</v>
      </c>
      <c r="G185" s="134" t="s">
        <v>232</v>
      </c>
      <c r="H185" s="134" t="s">
        <v>233</v>
      </c>
      <c r="I185" s="134" t="s">
        <v>249</v>
      </c>
      <c r="J185" s="135">
        <v>29298.26</v>
      </c>
    </row>
    <row r="186" spans="1:10" ht="34.5" thickBot="1" x14ac:dyDescent="0.3">
      <c r="A186" s="139" t="s">
        <v>90</v>
      </c>
      <c r="B186" s="139" t="s">
        <v>89</v>
      </c>
      <c r="C186" s="134" t="s">
        <v>121</v>
      </c>
      <c r="D186" s="134" t="s">
        <v>122</v>
      </c>
      <c r="E186" s="134" t="s">
        <v>245</v>
      </c>
      <c r="F186" s="134" t="s">
        <v>246</v>
      </c>
      <c r="G186" s="134" t="s">
        <v>232</v>
      </c>
      <c r="H186" s="134" t="s">
        <v>233</v>
      </c>
      <c r="I186" s="134" t="s">
        <v>250</v>
      </c>
      <c r="J186" s="136">
        <v>260100.06</v>
      </c>
    </row>
    <row r="187" spans="1:10" ht="34.5" thickBot="1" x14ac:dyDescent="0.3">
      <c r="A187" s="139" t="s">
        <v>90</v>
      </c>
      <c r="B187" s="139" t="s">
        <v>89</v>
      </c>
      <c r="C187" s="134" t="s">
        <v>121</v>
      </c>
      <c r="D187" s="134" t="s">
        <v>122</v>
      </c>
      <c r="E187" s="134" t="s">
        <v>245</v>
      </c>
      <c r="F187" s="134" t="s">
        <v>246</v>
      </c>
      <c r="G187" s="134" t="s">
        <v>232</v>
      </c>
      <c r="H187" s="134" t="s">
        <v>233</v>
      </c>
      <c r="I187" s="134" t="s">
        <v>251</v>
      </c>
      <c r="J187" s="135">
        <v>135500.9</v>
      </c>
    </row>
    <row r="188" spans="1:10" ht="34.5" thickBot="1" x14ac:dyDescent="0.3">
      <c r="A188" s="139" t="s">
        <v>90</v>
      </c>
      <c r="B188" s="139" t="s">
        <v>89</v>
      </c>
      <c r="C188" s="134" t="s">
        <v>121</v>
      </c>
      <c r="D188" s="134" t="s">
        <v>122</v>
      </c>
      <c r="E188" s="134" t="s">
        <v>245</v>
      </c>
      <c r="F188" s="134" t="s">
        <v>246</v>
      </c>
      <c r="G188" s="134" t="s">
        <v>232</v>
      </c>
      <c r="H188" s="134" t="s">
        <v>233</v>
      </c>
      <c r="I188" s="134" t="s">
        <v>252</v>
      </c>
      <c r="J188" s="136">
        <v>112048.94</v>
      </c>
    </row>
    <row r="189" spans="1:10" ht="34.5" thickBot="1" x14ac:dyDescent="0.3">
      <c r="A189" s="139" t="s">
        <v>90</v>
      </c>
      <c r="B189" s="139" t="s">
        <v>89</v>
      </c>
      <c r="C189" s="134" t="s">
        <v>121</v>
      </c>
      <c r="D189" s="134" t="s">
        <v>122</v>
      </c>
      <c r="E189" s="134" t="s">
        <v>245</v>
      </c>
      <c r="F189" s="134" t="s">
        <v>246</v>
      </c>
      <c r="G189" s="134" t="s">
        <v>232</v>
      </c>
      <c r="H189" s="134" t="s">
        <v>233</v>
      </c>
      <c r="I189" s="134" t="s">
        <v>253</v>
      </c>
      <c r="J189" s="135">
        <v>40145.71</v>
      </c>
    </row>
    <row r="190" spans="1:10" ht="34.5" thickBot="1" x14ac:dyDescent="0.3">
      <c r="A190" s="139" t="s">
        <v>90</v>
      </c>
      <c r="B190" s="139" t="s">
        <v>89</v>
      </c>
      <c r="C190" s="134" t="s">
        <v>121</v>
      </c>
      <c r="D190" s="134" t="s">
        <v>122</v>
      </c>
      <c r="E190" s="134" t="s">
        <v>245</v>
      </c>
      <c r="F190" s="134" t="s">
        <v>246</v>
      </c>
      <c r="G190" s="134" t="s">
        <v>232</v>
      </c>
      <c r="H190" s="134" t="s">
        <v>233</v>
      </c>
      <c r="I190" s="134" t="s">
        <v>254</v>
      </c>
      <c r="J190" s="136">
        <v>156938.98000000001</v>
      </c>
    </row>
    <row r="191" spans="1:10" ht="34.5" thickBot="1" x14ac:dyDescent="0.3">
      <c r="A191" s="139" t="s">
        <v>90</v>
      </c>
      <c r="B191" s="139" t="s">
        <v>89</v>
      </c>
      <c r="C191" s="134" t="s">
        <v>121</v>
      </c>
      <c r="D191" s="134" t="s">
        <v>122</v>
      </c>
      <c r="E191" s="134" t="s">
        <v>245</v>
      </c>
      <c r="F191" s="134" t="s">
        <v>246</v>
      </c>
      <c r="G191" s="134" t="s">
        <v>232</v>
      </c>
      <c r="H191" s="134" t="s">
        <v>233</v>
      </c>
      <c r="I191" s="134" t="s">
        <v>255</v>
      </c>
      <c r="J191" s="135">
        <v>38940.9</v>
      </c>
    </row>
    <row r="192" spans="1:10" ht="34.5" thickBot="1" x14ac:dyDescent="0.3">
      <c r="A192" s="139" t="s">
        <v>90</v>
      </c>
      <c r="B192" s="139" t="s">
        <v>89</v>
      </c>
      <c r="C192" s="134" t="s">
        <v>121</v>
      </c>
      <c r="D192" s="134" t="s">
        <v>122</v>
      </c>
      <c r="E192" s="134" t="s">
        <v>245</v>
      </c>
      <c r="F192" s="134" t="s">
        <v>246</v>
      </c>
      <c r="G192" s="134" t="s">
        <v>232</v>
      </c>
      <c r="H192" s="134" t="s">
        <v>233</v>
      </c>
      <c r="I192" s="134" t="s">
        <v>256</v>
      </c>
      <c r="J192" s="136">
        <v>128437.1</v>
      </c>
    </row>
    <row r="193" spans="1:10" ht="34.5" thickBot="1" x14ac:dyDescent="0.3">
      <c r="A193" s="139" t="s">
        <v>90</v>
      </c>
      <c r="B193" s="139" t="s">
        <v>89</v>
      </c>
      <c r="C193" s="134" t="s">
        <v>121</v>
      </c>
      <c r="D193" s="134" t="s">
        <v>122</v>
      </c>
      <c r="E193" s="134" t="s">
        <v>245</v>
      </c>
      <c r="F193" s="134" t="s">
        <v>246</v>
      </c>
      <c r="G193" s="134" t="s">
        <v>232</v>
      </c>
      <c r="H193" s="134" t="s">
        <v>233</v>
      </c>
      <c r="I193" s="134" t="s">
        <v>257</v>
      </c>
      <c r="J193" s="135">
        <v>71474</v>
      </c>
    </row>
    <row r="194" spans="1:10" ht="34.5" thickBot="1" x14ac:dyDescent="0.3">
      <c r="A194" s="139" t="s">
        <v>90</v>
      </c>
      <c r="B194" s="139" t="s">
        <v>89</v>
      </c>
      <c r="C194" s="134" t="s">
        <v>121</v>
      </c>
      <c r="D194" s="134" t="s">
        <v>122</v>
      </c>
      <c r="E194" s="134" t="s">
        <v>245</v>
      </c>
      <c r="F194" s="134" t="s">
        <v>246</v>
      </c>
      <c r="G194" s="134" t="s">
        <v>232</v>
      </c>
      <c r="H194" s="134" t="s">
        <v>233</v>
      </c>
      <c r="I194" s="134" t="s">
        <v>258</v>
      </c>
      <c r="J194" s="136">
        <v>151809.07</v>
      </c>
    </row>
    <row r="195" spans="1:10" ht="34.5" thickBot="1" x14ac:dyDescent="0.3">
      <c r="A195" s="139" t="s">
        <v>90</v>
      </c>
      <c r="B195" s="139" t="s">
        <v>89</v>
      </c>
      <c r="C195" s="134" t="s">
        <v>121</v>
      </c>
      <c r="D195" s="134" t="s">
        <v>122</v>
      </c>
      <c r="E195" s="134" t="s">
        <v>245</v>
      </c>
      <c r="F195" s="134" t="s">
        <v>246</v>
      </c>
      <c r="G195" s="134" t="s">
        <v>232</v>
      </c>
      <c r="H195" s="134" t="s">
        <v>233</v>
      </c>
      <c r="I195" s="134" t="s">
        <v>259</v>
      </c>
      <c r="J195" s="135">
        <v>30283.33</v>
      </c>
    </row>
    <row r="196" spans="1:10" ht="34.5" thickBot="1" x14ac:dyDescent="0.3">
      <c r="A196" s="139" t="s">
        <v>90</v>
      </c>
      <c r="B196" s="139" t="s">
        <v>89</v>
      </c>
      <c r="C196" s="134" t="s">
        <v>121</v>
      </c>
      <c r="D196" s="134" t="s">
        <v>122</v>
      </c>
      <c r="E196" s="134" t="s">
        <v>245</v>
      </c>
      <c r="F196" s="134" t="s">
        <v>246</v>
      </c>
      <c r="G196" s="134" t="s">
        <v>232</v>
      </c>
      <c r="H196" s="134" t="s">
        <v>233</v>
      </c>
      <c r="I196" s="134" t="s">
        <v>260</v>
      </c>
      <c r="J196" s="136">
        <v>128201.58</v>
      </c>
    </row>
    <row r="197" spans="1:10" ht="34.5" thickBot="1" x14ac:dyDescent="0.3">
      <c r="A197" s="139" t="s">
        <v>90</v>
      </c>
      <c r="B197" s="139" t="s">
        <v>89</v>
      </c>
      <c r="C197" s="134" t="s">
        <v>121</v>
      </c>
      <c r="D197" s="134" t="s">
        <v>122</v>
      </c>
      <c r="E197" s="134" t="s">
        <v>245</v>
      </c>
      <c r="F197" s="134" t="s">
        <v>246</v>
      </c>
      <c r="G197" s="134" t="s">
        <v>232</v>
      </c>
      <c r="H197" s="134" t="s">
        <v>233</v>
      </c>
      <c r="I197" s="134" t="s">
        <v>261</v>
      </c>
      <c r="J197" s="135">
        <v>288395.88</v>
      </c>
    </row>
    <row r="198" spans="1:10" ht="34.5" thickBot="1" x14ac:dyDescent="0.3">
      <c r="A198" s="139" t="s">
        <v>90</v>
      </c>
      <c r="B198" s="139" t="s">
        <v>89</v>
      </c>
      <c r="C198" s="134" t="s">
        <v>121</v>
      </c>
      <c r="D198" s="134" t="s">
        <v>122</v>
      </c>
      <c r="E198" s="134" t="s">
        <v>245</v>
      </c>
      <c r="F198" s="134" t="s">
        <v>246</v>
      </c>
      <c r="G198" s="134" t="s">
        <v>232</v>
      </c>
      <c r="H198" s="134" t="s">
        <v>233</v>
      </c>
      <c r="I198" s="134" t="s">
        <v>262</v>
      </c>
      <c r="J198" s="136">
        <v>447330.32</v>
      </c>
    </row>
    <row r="199" spans="1:10" ht="34.5" thickBot="1" x14ac:dyDescent="0.3">
      <c r="A199" s="139" t="s">
        <v>90</v>
      </c>
      <c r="B199" s="139" t="s">
        <v>89</v>
      </c>
      <c r="C199" s="134" t="s">
        <v>121</v>
      </c>
      <c r="D199" s="134" t="s">
        <v>122</v>
      </c>
      <c r="E199" s="134" t="s">
        <v>245</v>
      </c>
      <c r="F199" s="134" t="s">
        <v>246</v>
      </c>
      <c r="G199" s="134" t="s">
        <v>232</v>
      </c>
      <c r="H199" s="134" t="s">
        <v>233</v>
      </c>
      <c r="I199" s="134" t="s">
        <v>263</v>
      </c>
      <c r="J199" s="135">
        <v>238756.45</v>
      </c>
    </row>
    <row r="200" spans="1:10" ht="34.5" thickBot="1" x14ac:dyDescent="0.3">
      <c r="A200" s="139" t="s">
        <v>90</v>
      </c>
      <c r="B200" s="139" t="s">
        <v>89</v>
      </c>
      <c r="C200" s="134" t="s">
        <v>121</v>
      </c>
      <c r="D200" s="134" t="s">
        <v>122</v>
      </c>
      <c r="E200" s="134" t="s">
        <v>245</v>
      </c>
      <c r="F200" s="134" t="s">
        <v>246</v>
      </c>
      <c r="G200" s="134" t="s">
        <v>232</v>
      </c>
      <c r="H200" s="134" t="s">
        <v>233</v>
      </c>
      <c r="I200" s="134" t="s">
        <v>264</v>
      </c>
      <c r="J200" s="136">
        <v>176334.05</v>
      </c>
    </row>
    <row r="201" spans="1:10" ht="34.5" thickBot="1" x14ac:dyDescent="0.3">
      <c r="A201" s="139" t="s">
        <v>90</v>
      </c>
      <c r="B201" s="139" t="s">
        <v>89</v>
      </c>
      <c r="C201" s="134" t="s">
        <v>121</v>
      </c>
      <c r="D201" s="134" t="s">
        <v>122</v>
      </c>
      <c r="E201" s="134" t="s">
        <v>245</v>
      </c>
      <c r="F201" s="134" t="s">
        <v>246</v>
      </c>
      <c r="G201" s="134" t="s">
        <v>232</v>
      </c>
      <c r="H201" s="134" t="s">
        <v>233</v>
      </c>
      <c r="I201" s="134" t="s">
        <v>265</v>
      </c>
      <c r="J201" s="135">
        <v>325716.03999999998</v>
      </c>
    </row>
    <row r="202" spans="1:10" ht="34.5" thickBot="1" x14ac:dyDescent="0.3">
      <c r="A202" s="139" t="s">
        <v>90</v>
      </c>
      <c r="B202" s="139" t="s">
        <v>89</v>
      </c>
      <c r="C202" s="134" t="s">
        <v>121</v>
      </c>
      <c r="D202" s="134" t="s">
        <v>122</v>
      </c>
      <c r="E202" s="134" t="s">
        <v>245</v>
      </c>
      <c r="F202" s="134" t="s">
        <v>246</v>
      </c>
      <c r="G202" s="134" t="s">
        <v>232</v>
      </c>
      <c r="H202" s="134" t="s">
        <v>233</v>
      </c>
      <c r="I202" s="134" t="s">
        <v>266</v>
      </c>
      <c r="J202" s="136">
        <v>35084.379999999997</v>
      </c>
    </row>
    <row r="203" spans="1:10" ht="34.5" thickBot="1" x14ac:dyDescent="0.3">
      <c r="A203" s="139" t="s">
        <v>90</v>
      </c>
      <c r="B203" s="139" t="s">
        <v>89</v>
      </c>
      <c r="C203" s="134" t="s">
        <v>121</v>
      </c>
      <c r="D203" s="134" t="s">
        <v>122</v>
      </c>
      <c r="E203" s="134" t="s">
        <v>245</v>
      </c>
      <c r="F203" s="134" t="s">
        <v>246</v>
      </c>
      <c r="G203" s="134" t="s">
        <v>232</v>
      </c>
      <c r="H203" s="134" t="s">
        <v>233</v>
      </c>
      <c r="I203" s="134" t="s">
        <v>267</v>
      </c>
      <c r="J203" s="135">
        <v>289163.24</v>
      </c>
    </row>
    <row r="204" spans="1:10" ht="34.5" thickBot="1" x14ac:dyDescent="0.3">
      <c r="A204" s="139" t="s">
        <v>90</v>
      </c>
      <c r="B204" s="139" t="s">
        <v>89</v>
      </c>
      <c r="C204" s="134" t="s">
        <v>121</v>
      </c>
      <c r="D204" s="134" t="s">
        <v>122</v>
      </c>
      <c r="E204" s="134" t="s">
        <v>245</v>
      </c>
      <c r="F204" s="134" t="s">
        <v>246</v>
      </c>
      <c r="G204" s="134" t="s">
        <v>232</v>
      </c>
      <c r="H204" s="134" t="s">
        <v>233</v>
      </c>
      <c r="I204" s="134" t="s">
        <v>268</v>
      </c>
      <c r="J204" s="136">
        <v>77367.5</v>
      </c>
    </row>
    <row r="205" spans="1:10" ht="34.5" thickBot="1" x14ac:dyDescent="0.3">
      <c r="A205" s="139" t="s">
        <v>90</v>
      </c>
      <c r="B205" s="139" t="s">
        <v>89</v>
      </c>
      <c r="C205" s="134" t="s">
        <v>121</v>
      </c>
      <c r="D205" s="134" t="s">
        <v>122</v>
      </c>
      <c r="E205" s="134" t="s">
        <v>245</v>
      </c>
      <c r="F205" s="134" t="s">
        <v>246</v>
      </c>
      <c r="G205" s="134" t="s">
        <v>232</v>
      </c>
      <c r="H205" s="134" t="s">
        <v>233</v>
      </c>
      <c r="I205" s="134" t="s">
        <v>269</v>
      </c>
      <c r="J205" s="135">
        <v>333018.07</v>
      </c>
    </row>
    <row r="206" spans="1:10" ht="34.5" thickBot="1" x14ac:dyDescent="0.3">
      <c r="A206" s="139" t="s">
        <v>90</v>
      </c>
      <c r="B206" s="139" t="s">
        <v>89</v>
      </c>
      <c r="C206" s="134" t="s">
        <v>121</v>
      </c>
      <c r="D206" s="134" t="s">
        <v>122</v>
      </c>
      <c r="E206" s="134" t="s">
        <v>245</v>
      </c>
      <c r="F206" s="134" t="s">
        <v>246</v>
      </c>
      <c r="G206" s="134" t="s">
        <v>232</v>
      </c>
      <c r="H206" s="134" t="s">
        <v>233</v>
      </c>
      <c r="I206" s="134" t="s">
        <v>270</v>
      </c>
      <c r="J206" s="136">
        <v>249727.38</v>
      </c>
    </row>
    <row r="207" spans="1:10" ht="34.5" thickBot="1" x14ac:dyDescent="0.3">
      <c r="A207" s="139" t="s">
        <v>90</v>
      </c>
      <c r="B207" s="139" t="s">
        <v>89</v>
      </c>
      <c r="C207" s="134" t="s">
        <v>121</v>
      </c>
      <c r="D207" s="134" t="s">
        <v>122</v>
      </c>
      <c r="E207" s="134" t="s">
        <v>245</v>
      </c>
      <c r="F207" s="134" t="s">
        <v>246</v>
      </c>
      <c r="G207" s="134" t="s">
        <v>232</v>
      </c>
      <c r="H207" s="134" t="s">
        <v>233</v>
      </c>
      <c r="I207" s="134" t="s">
        <v>271</v>
      </c>
      <c r="J207" s="135">
        <v>349175.59</v>
      </c>
    </row>
    <row r="208" spans="1:10" ht="34.5" thickBot="1" x14ac:dyDescent="0.3">
      <c r="A208" s="139" t="s">
        <v>90</v>
      </c>
      <c r="B208" s="139" t="s">
        <v>89</v>
      </c>
      <c r="C208" s="134" t="s">
        <v>121</v>
      </c>
      <c r="D208" s="134" t="s">
        <v>122</v>
      </c>
      <c r="E208" s="134" t="s">
        <v>245</v>
      </c>
      <c r="F208" s="134" t="s">
        <v>246</v>
      </c>
      <c r="G208" s="134" t="s">
        <v>232</v>
      </c>
      <c r="H208" s="134" t="s">
        <v>233</v>
      </c>
      <c r="I208" s="134" t="s">
        <v>272</v>
      </c>
      <c r="J208" s="136">
        <v>25598.76</v>
      </c>
    </row>
    <row r="209" spans="1:11" ht="34.5" thickBot="1" x14ac:dyDescent="0.3">
      <c r="A209" s="139" t="s">
        <v>90</v>
      </c>
      <c r="B209" s="139" t="s">
        <v>89</v>
      </c>
      <c r="C209" s="134" t="s">
        <v>121</v>
      </c>
      <c r="D209" s="134" t="s">
        <v>122</v>
      </c>
      <c r="E209" s="134" t="s">
        <v>245</v>
      </c>
      <c r="F209" s="134" t="s">
        <v>246</v>
      </c>
      <c r="G209" s="134" t="s">
        <v>232</v>
      </c>
      <c r="H209" s="134" t="s">
        <v>233</v>
      </c>
      <c r="I209" s="134" t="s">
        <v>273</v>
      </c>
      <c r="J209" s="135">
        <v>498126.81</v>
      </c>
    </row>
    <row r="210" spans="1:11" ht="34.5" thickBot="1" x14ac:dyDescent="0.3">
      <c r="A210" s="139" t="s">
        <v>90</v>
      </c>
      <c r="B210" s="139" t="s">
        <v>89</v>
      </c>
      <c r="C210" s="134" t="s">
        <v>121</v>
      </c>
      <c r="D210" s="134" t="s">
        <v>122</v>
      </c>
      <c r="E210" s="134" t="s">
        <v>245</v>
      </c>
      <c r="F210" s="134" t="s">
        <v>246</v>
      </c>
      <c r="G210" s="134" t="s">
        <v>232</v>
      </c>
      <c r="H210" s="134" t="s">
        <v>233</v>
      </c>
      <c r="I210" s="134" t="s">
        <v>274</v>
      </c>
      <c r="J210" s="136">
        <v>39111.42</v>
      </c>
    </row>
    <row r="211" spans="1:11" ht="34.5" thickBot="1" x14ac:dyDescent="0.3">
      <c r="A211" s="139" t="s">
        <v>90</v>
      </c>
      <c r="B211" s="139" t="s">
        <v>89</v>
      </c>
      <c r="C211" s="134" t="s">
        <v>121</v>
      </c>
      <c r="D211" s="134" t="s">
        <v>122</v>
      </c>
      <c r="E211" s="134" t="s">
        <v>245</v>
      </c>
      <c r="F211" s="134" t="s">
        <v>246</v>
      </c>
      <c r="G211" s="134" t="s">
        <v>232</v>
      </c>
      <c r="H211" s="134" t="s">
        <v>233</v>
      </c>
      <c r="I211" s="134" t="s">
        <v>275</v>
      </c>
      <c r="J211" s="135">
        <v>273620.64</v>
      </c>
    </row>
    <row r="212" spans="1:11" ht="34.5" thickBot="1" x14ac:dyDescent="0.3">
      <c r="A212" s="139" t="s">
        <v>90</v>
      </c>
      <c r="B212" s="139" t="s">
        <v>89</v>
      </c>
      <c r="C212" s="134" t="s">
        <v>121</v>
      </c>
      <c r="D212" s="134" t="s">
        <v>122</v>
      </c>
      <c r="E212" s="134" t="s">
        <v>245</v>
      </c>
      <c r="F212" s="134" t="s">
        <v>246</v>
      </c>
      <c r="G212" s="134" t="s">
        <v>232</v>
      </c>
      <c r="H212" s="134" t="s">
        <v>233</v>
      </c>
      <c r="I212" s="134" t="s">
        <v>276</v>
      </c>
      <c r="J212" s="136">
        <v>341288.28</v>
      </c>
    </row>
    <row r="213" spans="1:11" ht="34.5" thickBot="1" x14ac:dyDescent="0.3">
      <c r="A213" s="139" t="s">
        <v>90</v>
      </c>
      <c r="B213" s="139" t="s">
        <v>89</v>
      </c>
      <c r="C213" s="134" t="s">
        <v>121</v>
      </c>
      <c r="D213" s="134" t="s">
        <v>122</v>
      </c>
      <c r="E213" s="134" t="s">
        <v>245</v>
      </c>
      <c r="F213" s="134" t="s">
        <v>246</v>
      </c>
      <c r="G213" s="134" t="s">
        <v>232</v>
      </c>
      <c r="H213" s="134" t="s">
        <v>233</v>
      </c>
      <c r="I213" s="134" t="s">
        <v>277</v>
      </c>
      <c r="J213" s="135">
        <v>266863.03999999998</v>
      </c>
    </row>
    <row r="214" spans="1:11" ht="34.5" thickBot="1" x14ac:dyDescent="0.3">
      <c r="A214" s="139" t="s">
        <v>90</v>
      </c>
      <c r="B214" s="139" t="s">
        <v>89</v>
      </c>
      <c r="C214" s="134" t="s">
        <v>121</v>
      </c>
      <c r="D214" s="134" t="s">
        <v>122</v>
      </c>
      <c r="E214" s="134" t="s">
        <v>245</v>
      </c>
      <c r="F214" s="134" t="s">
        <v>246</v>
      </c>
      <c r="G214" s="134" t="s">
        <v>232</v>
      </c>
      <c r="H214" s="134" t="s">
        <v>233</v>
      </c>
      <c r="I214" s="134" t="s">
        <v>278</v>
      </c>
      <c r="J214" s="136">
        <v>369069.1</v>
      </c>
    </row>
    <row r="215" spans="1:11" ht="34.5" thickBot="1" x14ac:dyDescent="0.3">
      <c r="A215" s="139" t="s">
        <v>90</v>
      </c>
      <c r="B215" s="139" t="s">
        <v>89</v>
      </c>
      <c r="C215" s="134" t="s">
        <v>121</v>
      </c>
      <c r="D215" s="134" t="s">
        <v>122</v>
      </c>
      <c r="E215" s="134" t="s">
        <v>245</v>
      </c>
      <c r="F215" s="134" t="s">
        <v>246</v>
      </c>
      <c r="G215" s="134" t="s">
        <v>232</v>
      </c>
      <c r="H215" s="134" t="s">
        <v>233</v>
      </c>
      <c r="I215" s="134" t="s">
        <v>279</v>
      </c>
      <c r="J215" s="135">
        <v>29270.35</v>
      </c>
    </row>
    <row r="216" spans="1:11" ht="34.5" thickBot="1" x14ac:dyDescent="0.3">
      <c r="A216" s="139" t="s">
        <v>90</v>
      </c>
      <c r="B216" s="139" t="s">
        <v>89</v>
      </c>
      <c r="C216" s="134" t="s">
        <v>121</v>
      </c>
      <c r="D216" s="134" t="s">
        <v>122</v>
      </c>
      <c r="E216" s="134" t="s">
        <v>245</v>
      </c>
      <c r="F216" s="134" t="s">
        <v>246</v>
      </c>
      <c r="G216" s="134" t="s">
        <v>232</v>
      </c>
      <c r="H216" s="134" t="s">
        <v>233</v>
      </c>
      <c r="I216" s="134" t="s">
        <v>280</v>
      </c>
      <c r="J216" s="136">
        <v>33077.64</v>
      </c>
    </row>
    <row r="217" spans="1:11" ht="34.5" thickBot="1" x14ac:dyDescent="0.3">
      <c r="A217" s="139" t="s">
        <v>90</v>
      </c>
      <c r="B217" s="139" t="s">
        <v>89</v>
      </c>
      <c r="C217" s="134" t="s">
        <v>121</v>
      </c>
      <c r="D217" s="134" t="s">
        <v>122</v>
      </c>
      <c r="E217" s="134" t="s">
        <v>245</v>
      </c>
      <c r="F217" s="134" t="s">
        <v>246</v>
      </c>
      <c r="G217" s="134" t="s">
        <v>232</v>
      </c>
      <c r="H217" s="134" t="s">
        <v>233</v>
      </c>
      <c r="I217" s="134" t="s">
        <v>234</v>
      </c>
      <c r="J217" s="135">
        <v>92132.41</v>
      </c>
    </row>
    <row r="218" spans="1:11" ht="34.5" thickBot="1" x14ac:dyDescent="0.3">
      <c r="A218" s="139" t="s">
        <v>90</v>
      </c>
      <c r="B218" s="139" t="s">
        <v>89</v>
      </c>
      <c r="C218" s="134" t="s">
        <v>121</v>
      </c>
      <c r="D218" s="134" t="s">
        <v>122</v>
      </c>
      <c r="E218" s="134" t="s">
        <v>245</v>
      </c>
      <c r="F218" s="134" t="s">
        <v>246</v>
      </c>
      <c r="G218" s="134" t="s">
        <v>232</v>
      </c>
      <c r="H218" s="134" t="s">
        <v>233</v>
      </c>
      <c r="I218" s="134" t="s">
        <v>235</v>
      </c>
      <c r="J218" s="136">
        <v>549375.61</v>
      </c>
    </row>
    <row r="219" spans="1:11" ht="34.5" thickBot="1" x14ac:dyDescent="0.3">
      <c r="A219" s="139" t="s">
        <v>90</v>
      </c>
      <c r="B219" s="139" t="s">
        <v>89</v>
      </c>
      <c r="C219" s="134" t="s">
        <v>121</v>
      </c>
      <c r="D219" s="134" t="s">
        <v>122</v>
      </c>
      <c r="E219" s="134" t="s">
        <v>245</v>
      </c>
      <c r="F219" s="134" t="s">
        <v>246</v>
      </c>
      <c r="G219" s="134" t="s">
        <v>232</v>
      </c>
      <c r="H219" s="134" t="s">
        <v>233</v>
      </c>
      <c r="I219" s="143" t="s">
        <v>64</v>
      </c>
      <c r="J219" s="137">
        <f>SUM(J183:J218)</f>
        <v>6937426.0799999982</v>
      </c>
    </row>
    <row r="220" spans="1:11" ht="34.5" thickBot="1" x14ac:dyDescent="0.3">
      <c r="A220" s="139" t="s">
        <v>90</v>
      </c>
      <c r="B220" s="139" t="s">
        <v>89</v>
      </c>
      <c r="C220" s="134" t="s">
        <v>123</v>
      </c>
      <c r="D220" s="134" t="s">
        <v>25</v>
      </c>
      <c r="E220" s="134" t="s">
        <v>281</v>
      </c>
      <c r="F220" s="134" t="s">
        <v>282</v>
      </c>
      <c r="G220" s="134" t="s">
        <v>232</v>
      </c>
      <c r="H220" s="134" t="s">
        <v>233</v>
      </c>
      <c r="I220" s="134" t="s">
        <v>234</v>
      </c>
      <c r="J220" s="136">
        <v>121357.39</v>
      </c>
      <c r="K220" s="2"/>
    </row>
    <row r="221" spans="1:11" ht="34.5" thickBot="1" x14ac:dyDescent="0.3">
      <c r="A221" s="139" t="s">
        <v>90</v>
      </c>
      <c r="B221" s="139" t="s">
        <v>89</v>
      </c>
      <c r="C221" s="134" t="s">
        <v>123</v>
      </c>
      <c r="D221" s="134" t="s">
        <v>25</v>
      </c>
      <c r="E221" s="134" t="s">
        <v>281</v>
      </c>
      <c r="F221" s="134" t="s">
        <v>282</v>
      </c>
      <c r="G221" s="134" t="s">
        <v>232</v>
      </c>
      <c r="H221" s="134" t="s">
        <v>233</v>
      </c>
      <c r="I221" s="134" t="s">
        <v>283</v>
      </c>
      <c r="J221" s="135">
        <v>9169.26</v>
      </c>
    </row>
    <row r="222" spans="1:11" ht="34.5" thickBot="1" x14ac:dyDescent="0.3">
      <c r="A222" s="139" t="s">
        <v>90</v>
      </c>
      <c r="B222" s="139" t="s">
        <v>89</v>
      </c>
      <c r="C222" s="134" t="s">
        <v>123</v>
      </c>
      <c r="D222" s="134" t="s">
        <v>25</v>
      </c>
      <c r="E222" s="134" t="s">
        <v>281</v>
      </c>
      <c r="F222" s="134" t="s">
        <v>282</v>
      </c>
      <c r="G222" s="134" t="s">
        <v>232</v>
      </c>
      <c r="H222" s="134" t="s">
        <v>233</v>
      </c>
      <c r="I222" s="134" t="s">
        <v>284</v>
      </c>
      <c r="J222" s="136">
        <v>16605.3</v>
      </c>
    </row>
    <row r="223" spans="1:11" ht="34.5" thickBot="1" x14ac:dyDescent="0.3">
      <c r="A223" s="139" t="s">
        <v>90</v>
      </c>
      <c r="B223" s="139" t="s">
        <v>89</v>
      </c>
      <c r="C223" s="134" t="s">
        <v>123</v>
      </c>
      <c r="D223" s="134" t="s">
        <v>25</v>
      </c>
      <c r="E223" s="134" t="s">
        <v>281</v>
      </c>
      <c r="F223" s="134" t="s">
        <v>282</v>
      </c>
      <c r="G223" s="134" t="s">
        <v>232</v>
      </c>
      <c r="H223" s="134" t="s">
        <v>233</v>
      </c>
      <c r="I223" s="134" t="s">
        <v>285</v>
      </c>
      <c r="J223" s="135">
        <v>24434.63</v>
      </c>
    </row>
    <row r="224" spans="1:11" ht="34.5" thickBot="1" x14ac:dyDescent="0.3">
      <c r="A224" s="139" t="s">
        <v>90</v>
      </c>
      <c r="B224" s="139" t="s">
        <v>89</v>
      </c>
      <c r="C224" s="134" t="s">
        <v>123</v>
      </c>
      <c r="D224" s="134" t="s">
        <v>25</v>
      </c>
      <c r="E224" s="134" t="s">
        <v>281</v>
      </c>
      <c r="F224" s="134" t="s">
        <v>282</v>
      </c>
      <c r="G224" s="134" t="s">
        <v>232</v>
      </c>
      <c r="H224" s="134" t="s">
        <v>233</v>
      </c>
      <c r="I224" s="134" t="s">
        <v>286</v>
      </c>
      <c r="J224" s="136">
        <v>9368.57</v>
      </c>
    </row>
    <row r="225" spans="1:10" ht="34.5" thickBot="1" x14ac:dyDescent="0.3">
      <c r="A225" s="139" t="s">
        <v>90</v>
      </c>
      <c r="B225" s="139" t="s">
        <v>89</v>
      </c>
      <c r="C225" s="134" t="s">
        <v>123</v>
      </c>
      <c r="D225" s="134" t="s">
        <v>25</v>
      </c>
      <c r="E225" s="134" t="s">
        <v>281</v>
      </c>
      <c r="F225" s="134" t="s">
        <v>282</v>
      </c>
      <c r="G225" s="134" t="s">
        <v>232</v>
      </c>
      <c r="H225" s="134" t="s">
        <v>233</v>
      </c>
      <c r="I225" s="134" t="s">
        <v>287</v>
      </c>
      <c r="J225" s="135">
        <v>34463.43</v>
      </c>
    </row>
    <row r="226" spans="1:10" ht="34.5" thickBot="1" x14ac:dyDescent="0.3">
      <c r="A226" s="139" t="s">
        <v>90</v>
      </c>
      <c r="B226" s="139" t="s">
        <v>89</v>
      </c>
      <c r="C226" s="134" t="s">
        <v>123</v>
      </c>
      <c r="D226" s="134" t="s">
        <v>25</v>
      </c>
      <c r="E226" s="134" t="s">
        <v>281</v>
      </c>
      <c r="F226" s="134" t="s">
        <v>282</v>
      </c>
      <c r="G226" s="134" t="s">
        <v>232</v>
      </c>
      <c r="H226" s="134" t="s">
        <v>233</v>
      </c>
      <c r="I226" s="134" t="s">
        <v>288</v>
      </c>
      <c r="J226" s="136">
        <v>16569.3</v>
      </c>
    </row>
    <row r="227" spans="1:10" ht="34.5" thickBot="1" x14ac:dyDescent="0.3">
      <c r="A227" s="139" t="s">
        <v>90</v>
      </c>
      <c r="B227" s="139" t="s">
        <v>89</v>
      </c>
      <c r="C227" s="134" t="s">
        <v>123</v>
      </c>
      <c r="D227" s="134" t="s">
        <v>25</v>
      </c>
      <c r="E227" s="134" t="s">
        <v>281</v>
      </c>
      <c r="F227" s="134" t="s">
        <v>282</v>
      </c>
      <c r="G227" s="134" t="s">
        <v>232</v>
      </c>
      <c r="H227" s="134" t="s">
        <v>233</v>
      </c>
      <c r="I227" s="134" t="s">
        <v>289</v>
      </c>
      <c r="J227" s="135">
        <v>17188.37</v>
      </c>
    </row>
    <row r="228" spans="1:10" ht="34.5" thickBot="1" x14ac:dyDescent="0.3">
      <c r="A228" s="139" t="s">
        <v>90</v>
      </c>
      <c r="B228" s="139" t="s">
        <v>89</v>
      </c>
      <c r="C228" s="134" t="s">
        <v>123</v>
      </c>
      <c r="D228" s="134" t="s">
        <v>25</v>
      </c>
      <c r="E228" s="134" t="s">
        <v>281</v>
      </c>
      <c r="F228" s="134" t="s">
        <v>282</v>
      </c>
      <c r="G228" s="134" t="s">
        <v>232</v>
      </c>
      <c r="H228" s="134" t="s">
        <v>233</v>
      </c>
      <c r="I228" s="134" t="s">
        <v>290</v>
      </c>
      <c r="J228" s="136">
        <v>12946.93</v>
      </c>
    </row>
    <row r="229" spans="1:10" ht="34.5" thickBot="1" x14ac:dyDescent="0.3">
      <c r="A229" s="139" t="s">
        <v>90</v>
      </c>
      <c r="B229" s="139" t="s">
        <v>89</v>
      </c>
      <c r="C229" s="134" t="s">
        <v>123</v>
      </c>
      <c r="D229" s="134" t="s">
        <v>25</v>
      </c>
      <c r="E229" s="134" t="s">
        <v>281</v>
      </c>
      <c r="F229" s="134" t="s">
        <v>282</v>
      </c>
      <c r="G229" s="134" t="s">
        <v>232</v>
      </c>
      <c r="H229" s="134" t="s">
        <v>233</v>
      </c>
      <c r="I229" s="134" t="s">
        <v>291</v>
      </c>
      <c r="J229" s="135">
        <v>11780.61</v>
      </c>
    </row>
    <row r="230" spans="1:10" ht="34.5" thickBot="1" x14ac:dyDescent="0.3">
      <c r="A230" s="139" t="s">
        <v>90</v>
      </c>
      <c r="B230" s="139" t="s">
        <v>89</v>
      </c>
      <c r="C230" s="134" t="s">
        <v>123</v>
      </c>
      <c r="D230" s="134" t="s">
        <v>25</v>
      </c>
      <c r="E230" s="134" t="s">
        <v>281</v>
      </c>
      <c r="F230" s="134" t="s">
        <v>282</v>
      </c>
      <c r="G230" s="134" t="s">
        <v>232</v>
      </c>
      <c r="H230" s="134" t="s">
        <v>233</v>
      </c>
      <c r="I230" s="134" t="s">
        <v>292</v>
      </c>
      <c r="J230" s="136">
        <v>20734.09</v>
      </c>
    </row>
    <row r="231" spans="1:10" ht="45.75" thickBot="1" x14ac:dyDescent="0.3">
      <c r="A231" s="139" t="s">
        <v>90</v>
      </c>
      <c r="B231" s="139" t="s">
        <v>89</v>
      </c>
      <c r="C231" s="134" t="s">
        <v>123</v>
      </c>
      <c r="D231" s="134" t="s">
        <v>25</v>
      </c>
      <c r="E231" s="134" t="s">
        <v>281</v>
      </c>
      <c r="F231" s="134" t="s">
        <v>282</v>
      </c>
      <c r="G231" s="134" t="s">
        <v>232</v>
      </c>
      <c r="H231" s="134" t="s">
        <v>233</v>
      </c>
      <c r="I231" s="134" t="s">
        <v>293</v>
      </c>
      <c r="J231" s="135">
        <v>97696.93</v>
      </c>
    </row>
    <row r="232" spans="1:10" ht="45.75" thickBot="1" x14ac:dyDescent="0.3">
      <c r="A232" s="139" t="s">
        <v>90</v>
      </c>
      <c r="B232" s="139" t="s">
        <v>89</v>
      </c>
      <c r="C232" s="134" t="s">
        <v>123</v>
      </c>
      <c r="D232" s="134" t="s">
        <v>25</v>
      </c>
      <c r="E232" s="134" t="s">
        <v>281</v>
      </c>
      <c r="F232" s="134" t="s">
        <v>282</v>
      </c>
      <c r="G232" s="134" t="s">
        <v>232</v>
      </c>
      <c r="H232" s="134" t="s">
        <v>233</v>
      </c>
      <c r="I232" s="134" t="s">
        <v>294</v>
      </c>
      <c r="J232" s="136">
        <v>94924.68</v>
      </c>
    </row>
    <row r="233" spans="1:10" ht="45.75" thickBot="1" x14ac:dyDescent="0.3">
      <c r="A233" s="139" t="s">
        <v>90</v>
      </c>
      <c r="B233" s="139" t="s">
        <v>89</v>
      </c>
      <c r="C233" s="134" t="s">
        <v>123</v>
      </c>
      <c r="D233" s="134" t="s">
        <v>25</v>
      </c>
      <c r="E233" s="134" t="s">
        <v>281</v>
      </c>
      <c r="F233" s="134" t="s">
        <v>282</v>
      </c>
      <c r="G233" s="134" t="s">
        <v>232</v>
      </c>
      <c r="H233" s="134" t="s">
        <v>233</v>
      </c>
      <c r="I233" s="134" t="s">
        <v>295</v>
      </c>
      <c r="J233" s="135">
        <v>98435.75</v>
      </c>
    </row>
    <row r="234" spans="1:10" ht="45.75" thickBot="1" x14ac:dyDescent="0.3">
      <c r="A234" s="139" t="s">
        <v>90</v>
      </c>
      <c r="B234" s="139" t="s">
        <v>89</v>
      </c>
      <c r="C234" s="134" t="s">
        <v>123</v>
      </c>
      <c r="D234" s="134" t="s">
        <v>25</v>
      </c>
      <c r="E234" s="134" t="s">
        <v>281</v>
      </c>
      <c r="F234" s="134" t="s">
        <v>282</v>
      </c>
      <c r="G234" s="134" t="s">
        <v>232</v>
      </c>
      <c r="H234" s="134" t="s">
        <v>233</v>
      </c>
      <c r="I234" s="134" t="s">
        <v>296</v>
      </c>
      <c r="J234" s="136">
        <v>90625.25</v>
      </c>
    </row>
    <row r="235" spans="1:10" ht="57" thickBot="1" x14ac:dyDescent="0.3">
      <c r="A235" s="139" t="s">
        <v>90</v>
      </c>
      <c r="B235" s="139" t="s">
        <v>89</v>
      </c>
      <c r="C235" s="134" t="s">
        <v>123</v>
      </c>
      <c r="D235" s="134" t="s">
        <v>25</v>
      </c>
      <c r="E235" s="134" t="s">
        <v>281</v>
      </c>
      <c r="F235" s="134" t="s">
        <v>282</v>
      </c>
      <c r="G235" s="134" t="s">
        <v>232</v>
      </c>
      <c r="H235" s="134" t="s">
        <v>233</v>
      </c>
      <c r="I235" s="134" t="s">
        <v>297</v>
      </c>
      <c r="J235" s="135">
        <v>106727.96</v>
      </c>
    </row>
    <row r="236" spans="1:10" ht="45.75" thickBot="1" x14ac:dyDescent="0.3">
      <c r="A236" s="139" t="s">
        <v>90</v>
      </c>
      <c r="B236" s="139" t="s">
        <v>89</v>
      </c>
      <c r="C236" s="134" t="s">
        <v>123</v>
      </c>
      <c r="D236" s="134" t="s">
        <v>25</v>
      </c>
      <c r="E236" s="134" t="s">
        <v>281</v>
      </c>
      <c r="F236" s="134" t="s">
        <v>282</v>
      </c>
      <c r="G236" s="134" t="s">
        <v>232</v>
      </c>
      <c r="H236" s="134" t="s">
        <v>233</v>
      </c>
      <c r="I236" s="134" t="s">
        <v>298</v>
      </c>
      <c r="J236" s="136">
        <v>101719.44</v>
      </c>
    </row>
    <row r="237" spans="1:10" ht="45.75" thickBot="1" x14ac:dyDescent="0.3">
      <c r="A237" s="139" t="s">
        <v>90</v>
      </c>
      <c r="B237" s="139" t="s">
        <v>89</v>
      </c>
      <c r="C237" s="134" t="s">
        <v>123</v>
      </c>
      <c r="D237" s="134" t="s">
        <v>25</v>
      </c>
      <c r="E237" s="134" t="s">
        <v>281</v>
      </c>
      <c r="F237" s="134" t="s">
        <v>282</v>
      </c>
      <c r="G237" s="134" t="s">
        <v>232</v>
      </c>
      <c r="H237" s="134" t="s">
        <v>233</v>
      </c>
      <c r="I237" s="134" t="s">
        <v>299</v>
      </c>
      <c r="J237" s="135">
        <v>51473.599999999999</v>
      </c>
    </row>
    <row r="238" spans="1:10" ht="45.75" thickBot="1" x14ac:dyDescent="0.3">
      <c r="A238" s="139" t="s">
        <v>90</v>
      </c>
      <c r="B238" s="139" t="s">
        <v>89</v>
      </c>
      <c r="C238" s="134" t="s">
        <v>123</v>
      </c>
      <c r="D238" s="134" t="s">
        <v>25</v>
      </c>
      <c r="E238" s="134" t="s">
        <v>281</v>
      </c>
      <c r="F238" s="134" t="s">
        <v>282</v>
      </c>
      <c r="G238" s="134" t="s">
        <v>232</v>
      </c>
      <c r="H238" s="134" t="s">
        <v>233</v>
      </c>
      <c r="I238" s="134" t="s">
        <v>300</v>
      </c>
      <c r="J238" s="136">
        <v>93590.52</v>
      </c>
    </row>
    <row r="239" spans="1:10" ht="45.75" thickBot="1" x14ac:dyDescent="0.3">
      <c r="A239" s="139" t="s">
        <v>90</v>
      </c>
      <c r="B239" s="139" t="s">
        <v>89</v>
      </c>
      <c r="C239" s="134" t="s">
        <v>123</v>
      </c>
      <c r="D239" s="134" t="s">
        <v>25</v>
      </c>
      <c r="E239" s="134" t="s">
        <v>281</v>
      </c>
      <c r="F239" s="134" t="s">
        <v>282</v>
      </c>
      <c r="G239" s="134" t="s">
        <v>232</v>
      </c>
      <c r="H239" s="134" t="s">
        <v>233</v>
      </c>
      <c r="I239" s="134" t="s">
        <v>301</v>
      </c>
      <c r="J239" s="135">
        <v>99982.94</v>
      </c>
    </row>
    <row r="240" spans="1:10" s="229" customFormat="1" ht="45.75" thickBot="1" x14ac:dyDescent="0.3">
      <c r="A240" s="139" t="s">
        <v>90</v>
      </c>
      <c r="B240" s="139" t="s">
        <v>89</v>
      </c>
      <c r="C240" s="134" t="s">
        <v>123</v>
      </c>
      <c r="D240" s="134" t="s">
        <v>25</v>
      </c>
      <c r="E240" s="134"/>
      <c r="F240" s="134"/>
      <c r="G240" s="134" t="s">
        <v>232</v>
      </c>
      <c r="H240" s="134" t="s">
        <v>233</v>
      </c>
      <c r="I240" s="134" t="s">
        <v>301</v>
      </c>
      <c r="J240" s="136">
        <v>75717.22</v>
      </c>
    </row>
    <row r="241" spans="1:10" ht="34.5" thickBot="1" x14ac:dyDescent="0.3">
      <c r="A241" s="139" t="s">
        <v>90</v>
      </c>
      <c r="B241" s="139" t="s">
        <v>89</v>
      </c>
      <c r="C241" s="134" t="s">
        <v>123</v>
      </c>
      <c r="D241" s="134" t="s">
        <v>25</v>
      </c>
      <c r="E241" s="134" t="s">
        <v>281</v>
      </c>
      <c r="F241" s="134" t="s">
        <v>282</v>
      </c>
      <c r="G241" s="134" t="s">
        <v>232</v>
      </c>
      <c r="H241" s="134" t="s">
        <v>233</v>
      </c>
      <c r="I241" s="134" t="s">
        <v>302</v>
      </c>
      <c r="J241" s="136">
        <v>41601.26</v>
      </c>
    </row>
    <row r="242" spans="1:10" ht="34.5" thickBot="1" x14ac:dyDescent="0.3">
      <c r="A242" s="139" t="s">
        <v>90</v>
      </c>
      <c r="B242" s="139" t="s">
        <v>89</v>
      </c>
      <c r="C242" s="134" t="s">
        <v>123</v>
      </c>
      <c r="D242" s="134" t="s">
        <v>25</v>
      </c>
      <c r="E242" s="134" t="s">
        <v>281</v>
      </c>
      <c r="F242" s="134" t="s">
        <v>282</v>
      </c>
      <c r="G242" s="134" t="s">
        <v>232</v>
      </c>
      <c r="H242" s="134" t="s">
        <v>233</v>
      </c>
      <c r="I242" s="134" t="s">
        <v>303</v>
      </c>
      <c r="J242" s="135">
        <v>73165.740000000005</v>
      </c>
    </row>
    <row r="243" spans="1:10" ht="34.5" thickBot="1" x14ac:dyDescent="0.3">
      <c r="A243" s="139" t="s">
        <v>90</v>
      </c>
      <c r="B243" s="139" t="s">
        <v>89</v>
      </c>
      <c r="C243" s="134" t="s">
        <v>123</v>
      </c>
      <c r="D243" s="134" t="s">
        <v>25</v>
      </c>
      <c r="E243" s="134" t="s">
        <v>281</v>
      </c>
      <c r="F243" s="134" t="s">
        <v>282</v>
      </c>
      <c r="G243" s="134" t="s">
        <v>232</v>
      </c>
      <c r="H243" s="134" t="s">
        <v>233</v>
      </c>
      <c r="I243" s="134" t="s">
        <v>304</v>
      </c>
      <c r="J243" s="136">
        <v>13636.36</v>
      </c>
    </row>
    <row r="244" spans="1:10" ht="34.5" thickBot="1" x14ac:dyDescent="0.3">
      <c r="A244" s="139" t="s">
        <v>90</v>
      </c>
      <c r="B244" s="139" t="s">
        <v>89</v>
      </c>
      <c r="C244" s="134" t="s">
        <v>123</v>
      </c>
      <c r="D244" s="134" t="s">
        <v>25</v>
      </c>
      <c r="E244" s="134" t="s">
        <v>281</v>
      </c>
      <c r="F244" s="134" t="s">
        <v>282</v>
      </c>
      <c r="G244" s="134" t="s">
        <v>232</v>
      </c>
      <c r="H244" s="134" t="s">
        <v>233</v>
      </c>
      <c r="I244" s="134" t="s">
        <v>305</v>
      </c>
      <c r="J244" s="135">
        <v>74951.08</v>
      </c>
    </row>
    <row r="245" spans="1:10" ht="34.5" thickBot="1" x14ac:dyDescent="0.3">
      <c r="A245" s="139" t="s">
        <v>90</v>
      </c>
      <c r="B245" s="139" t="s">
        <v>89</v>
      </c>
      <c r="C245" s="134" t="s">
        <v>123</v>
      </c>
      <c r="D245" s="134" t="s">
        <v>25</v>
      </c>
      <c r="E245" s="134" t="s">
        <v>281</v>
      </c>
      <c r="F245" s="134" t="s">
        <v>282</v>
      </c>
      <c r="G245" s="134" t="s">
        <v>232</v>
      </c>
      <c r="H245" s="134" t="s">
        <v>233</v>
      </c>
      <c r="I245" s="134" t="s">
        <v>306</v>
      </c>
      <c r="J245" s="136">
        <v>53833.42</v>
      </c>
    </row>
    <row r="246" spans="1:10" ht="34.5" thickBot="1" x14ac:dyDescent="0.3">
      <c r="A246" s="139" t="s">
        <v>90</v>
      </c>
      <c r="B246" s="139" t="s">
        <v>89</v>
      </c>
      <c r="C246" s="134" t="s">
        <v>123</v>
      </c>
      <c r="D246" s="134" t="s">
        <v>25</v>
      </c>
      <c r="E246" s="134" t="s">
        <v>281</v>
      </c>
      <c r="F246" s="134" t="s">
        <v>282</v>
      </c>
      <c r="G246" s="134" t="s">
        <v>232</v>
      </c>
      <c r="H246" s="134" t="s">
        <v>233</v>
      </c>
      <c r="I246" s="134" t="s">
        <v>307</v>
      </c>
      <c r="J246" s="135">
        <v>60559.59</v>
      </c>
    </row>
    <row r="247" spans="1:10" ht="34.5" thickBot="1" x14ac:dyDescent="0.3">
      <c r="A247" s="139" t="s">
        <v>90</v>
      </c>
      <c r="B247" s="139" t="s">
        <v>89</v>
      </c>
      <c r="C247" s="134" t="s">
        <v>123</v>
      </c>
      <c r="D247" s="134" t="s">
        <v>25</v>
      </c>
      <c r="E247" s="134" t="s">
        <v>281</v>
      </c>
      <c r="F247" s="134" t="s">
        <v>282</v>
      </c>
      <c r="G247" s="134" t="s">
        <v>232</v>
      </c>
      <c r="H247" s="134" t="s">
        <v>233</v>
      </c>
      <c r="I247" s="134" t="s">
        <v>308</v>
      </c>
      <c r="J247" s="136">
        <v>36135.949999999997</v>
      </c>
    </row>
    <row r="248" spans="1:10" ht="34.5" thickBot="1" x14ac:dyDescent="0.3">
      <c r="A248" s="139" t="s">
        <v>90</v>
      </c>
      <c r="B248" s="139" t="s">
        <v>89</v>
      </c>
      <c r="C248" s="134" t="s">
        <v>123</v>
      </c>
      <c r="D248" s="134" t="s">
        <v>25</v>
      </c>
      <c r="E248" s="134" t="s">
        <v>281</v>
      </c>
      <c r="F248" s="134" t="s">
        <v>282</v>
      </c>
      <c r="G248" s="134" t="s">
        <v>232</v>
      </c>
      <c r="H248" s="134" t="s">
        <v>233</v>
      </c>
      <c r="I248" s="134" t="s">
        <v>309</v>
      </c>
      <c r="J248" s="135">
        <v>36697.19</v>
      </c>
    </row>
    <row r="249" spans="1:10" ht="34.5" thickBot="1" x14ac:dyDescent="0.3">
      <c r="A249" s="139" t="s">
        <v>90</v>
      </c>
      <c r="B249" s="139" t="s">
        <v>89</v>
      </c>
      <c r="C249" s="134" t="s">
        <v>123</v>
      </c>
      <c r="D249" s="134" t="s">
        <v>25</v>
      </c>
      <c r="E249" s="134" t="s">
        <v>281</v>
      </c>
      <c r="F249" s="134" t="s">
        <v>282</v>
      </c>
      <c r="G249" s="134" t="s">
        <v>232</v>
      </c>
      <c r="H249" s="134" t="s">
        <v>233</v>
      </c>
      <c r="I249" s="134" t="s">
        <v>310</v>
      </c>
      <c r="J249" s="136">
        <v>44756.88</v>
      </c>
    </row>
    <row r="250" spans="1:10" ht="34.5" thickBot="1" x14ac:dyDescent="0.3">
      <c r="A250" s="139" t="s">
        <v>90</v>
      </c>
      <c r="B250" s="139" t="s">
        <v>89</v>
      </c>
      <c r="C250" s="134" t="s">
        <v>123</v>
      </c>
      <c r="D250" s="134" t="s">
        <v>25</v>
      </c>
      <c r="E250" s="134" t="s">
        <v>281</v>
      </c>
      <c r="F250" s="134" t="s">
        <v>282</v>
      </c>
      <c r="G250" s="134" t="s">
        <v>232</v>
      </c>
      <c r="H250" s="134" t="s">
        <v>233</v>
      </c>
      <c r="I250" s="134" t="s">
        <v>311</v>
      </c>
      <c r="J250" s="135">
        <v>48745.61</v>
      </c>
    </row>
    <row r="251" spans="1:10" ht="34.5" thickBot="1" x14ac:dyDescent="0.3">
      <c r="A251" s="139" t="s">
        <v>90</v>
      </c>
      <c r="B251" s="139" t="s">
        <v>89</v>
      </c>
      <c r="C251" s="134" t="s">
        <v>123</v>
      </c>
      <c r="D251" s="134" t="s">
        <v>25</v>
      </c>
      <c r="E251" s="134" t="s">
        <v>281</v>
      </c>
      <c r="F251" s="134" t="s">
        <v>282</v>
      </c>
      <c r="G251" s="134" t="s">
        <v>232</v>
      </c>
      <c r="H251" s="134" t="s">
        <v>233</v>
      </c>
      <c r="I251" s="134" t="s">
        <v>312</v>
      </c>
      <c r="J251" s="136">
        <v>36833.61</v>
      </c>
    </row>
    <row r="252" spans="1:10" ht="45.75" thickBot="1" x14ac:dyDescent="0.3">
      <c r="A252" s="139" t="s">
        <v>90</v>
      </c>
      <c r="B252" s="139" t="s">
        <v>89</v>
      </c>
      <c r="C252" s="134" t="s">
        <v>123</v>
      </c>
      <c r="D252" s="134" t="s">
        <v>25</v>
      </c>
      <c r="E252" s="134" t="s">
        <v>281</v>
      </c>
      <c r="F252" s="134" t="s">
        <v>282</v>
      </c>
      <c r="G252" s="134" t="s">
        <v>232</v>
      </c>
      <c r="H252" s="134" t="s">
        <v>233</v>
      </c>
      <c r="I252" s="134" t="s">
        <v>313</v>
      </c>
      <c r="J252" s="135">
        <v>485097.31</v>
      </c>
    </row>
    <row r="253" spans="1:10" ht="45.75" thickBot="1" x14ac:dyDescent="0.3">
      <c r="A253" s="139" t="s">
        <v>90</v>
      </c>
      <c r="B253" s="139" t="s">
        <v>89</v>
      </c>
      <c r="C253" s="134" t="s">
        <v>123</v>
      </c>
      <c r="D253" s="134" t="s">
        <v>25</v>
      </c>
      <c r="E253" s="134" t="s">
        <v>281</v>
      </c>
      <c r="F253" s="134" t="s">
        <v>282</v>
      </c>
      <c r="G253" s="134" t="s">
        <v>232</v>
      </c>
      <c r="H253" s="134" t="s">
        <v>233</v>
      </c>
      <c r="I253" s="134" t="s">
        <v>314</v>
      </c>
      <c r="J253" s="136">
        <v>432294.75</v>
      </c>
    </row>
    <row r="254" spans="1:10" ht="45.75" thickBot="1" x14ac:dyDescent="0.3">
      <c r="A254" s="139" t="s">
        <v>90</v>
      </c>
      <c r="B254" s="139" t="s">
        <v>89</v>
      </c>
      <c r="C254" s="134" t="s">
        <v>123</v>
      </c>
      <c r="D254" s="134" t="s">
        <v>25</v>
      </c>
      <c r="E254" s="134" t="s">
        <v>281</v>
      </c>
      <c r="F254" s="134" t="s">
        <v>282</v>
      </c>
      <c r="G254" s="134" t="s">
        <v>232</v>
      </c>
      <c r="H254" s="134" t="s">
        <v>233</v>
      </c>
      <c r="I254" s="134" t="s">
        <v>315</v>
      </c>
      <c r="J254" s="135">
        <v>426765.61</v>
      </c>
    </row>
    <row r="255" spans="1:10" ht="45.75" thickBot="1" x14ac:dyDescent="0.3">
      <c r="A255" s="139" t="s">
        <v>90</v>
      </c>
      <c r="B255" s="139" t="s">
        <v>89</v>
      </c>
      <c r="C255" s="134" t="s">
        <v>123</v>
      </c>
      <c r="D255" s="134" t="s">
        <v>25</v>
      </c>
      <c r="E255" s="134" t="s">
        <v>281</v>
      </c>
      <c r="F255" s="134" t="s">
        <v>282</v>
      </c>
      <c r="G255" s="134" t="s">
        <v>232</v>
      </c>
      <c r="H255" s="134" t="s">
        <v>233</v>
      </c>
      <c r="I255" s="134" t="s">
        <v>316</v>
      </c>
      <c r="J255" s="136">
        <v>400471.11</v>
      </c>
    </row>
    <row r="256" spans="1:10" ht="45.75" thickBot="1" x14ac:dyDescent="0.3">
      <c r="A256" s="139" t="s">
        <v>90</v>
      </c>
      <c r="B256" s="139" t="s">
        <v>89</v>
      </c>
      <c r="C256" s="134" t="s">
        <v>123</v>
      </c>
      <c r="D256" s="134" t="s">
        <v>25</v>
      </c>
      <c r="E256" s="134" t="s">
        <v>281</v>
      </c>
      <c r="F256" s="134" t="s">
        <v>282</v>
      </c>
      <c r="G256" s="134" t="s">
        <v>232</v>
      </c>
      <c r="H256" s="134" t="s">
        <v>233</v>
      </c>
      <c r="I256" s="134" t="s">
        <v>317</v>
      </c>
      <c r="J256" s="135">
        <v>46365.120000000003</v>
      </c>
    </row>
    <row r="257" spans="1:10" ht="45.75" thickBot="1" x14ac:dyDescent="0.3">
      <c r="A257" s="139" t="s">
        <v>90</v>
      </c>
      <c r="B257" s="139" t="s">
        <v>89</v>
      </c>
      <c r="C257" s="134" t="s">
        <v>123</v>
      </c>
      <c r="D257" s="134" t="s">
        <v>25</v>
      </c>
      <c r="E257" s="134" t="s">
        <v>281</v>
      </c>
      <c r="F257" s="134" t="s">
        <v>282</v>
      </c>
      <c r="G257" s="134" t="s">
        <v>232</v>
      </c>
      <c r="H257" s="134" t="s">
        <v>233</v>
      </c>
      <c r="I257" s="134" t="s">
        <v>318</v>
      </c>
      <c r="J257" s="136">
        <v>507084.09</v>
      </c>
    </row>
    <row r="258" spans="1:10" ht="45.75" thickBot="1" x14ac:dyDescent="0.3">
      <c r="A258" s="139" t="s">
        <v>90</v>
      </c>
      <c r="B258" s="139" t="s">
        <v>89</v>
      </c>
      <c r="C258" s="134" t="s">
        <v>123</v>
      </c>
      <c r="D258" s="134" t="s">
        <v>25</v>
      </c>
      <c r="E258" s="134" t="s">
        <v>281</v>
      </c>
      <c r="F258" s="134" t="s">
        <v>282</v>
      </c>
      <c r="G258" s="134" t="s">
        <v>232</v>
      </c>
      <c r="H258" s="134" t="s">
        <v>233</v>
      </c>
      <c r="I258" s="134" t="s">
        <v>319</v>
      </c>
      <c r="J258" s="135">
        <v>460124.56</v>
      </c>
    </row>
    <row r="259" spans="1:10" ht="45.75" thickBot="1" x14ac:dyDescent="0.3">
      <c r="A259" s="139" t="s">
        <v>90</v>
      </c>
      <c r="B259" s="139" t="s">
        <v>89</v>
      </c>
      <c r="C259" s="134" t="s">
        <v>123</v>
      </c>
      <c r="D259" s="134" t="s">
        <v>25</v>
      </c>
      <c r="E259" s="134" t="s">
        <v>281</v>
      </c>
      <c r="F259" s="134" t="s">
        <v>282</v>
      </c>
      <c r="G259" s="134" t="s">
        <v>232</v>
      </c>
      <c r="H259" s="134" t="s">
        <v>233</v>
      </c>
      <c r="I259" s="134" t="s">
        <v>320</v>
      </c>
      <c r="J259" s="136">
        <v>312614.36</v>
      </c>
    </row>
    <row r="260" spans="1:10" ht="45.75" thickBot="1" x14ac:dyDescent="0.3">
      <c r="A260" s="139" t="s">
        <v>90</v>
      </c>
      <c r="B260" s="139" t="s">
        <v>89</v>
      </c>
      <c r="C260" s="134" t="s">
        <v>123</v>
      </c>
      <c r="D260" s="134" t="s">
        <v>25</v>
      </c>
      <c r="E260" s="134" t="s">
        <v>281</v>
      </c>
      <c r="F260" s="134" t="s">
        <v>282</v>
      </c>
      <c r="G260" s="134" t="s">
        <v>232</v>
      </c>
      <c r="H260" s="134" t="s">
        <v>233</v>
      </c>
      <c r="I260" s="134" t="s">
        <v>321</v>
      </c>
      <c r="J260" s="135">
        <v>460884.12</v>
      </c>
    </row>
    <row r="261" spans="1:10" ht="45.75" thickBot="1" x14ac:dyDescent="0.3">
      <c r="A261" s="139" t="s">
        <v>90</v>
      </c>
      <c r="B261" s="139" t="s">
        <v>89</v>
      </c>
      <c r="C261" s="134" t="s">
        <v>123</v>
      </c>
      <c r="D261" s="134" t="s">
        <v>25</v>
      </c>
      <c r="E261" s="134" t="s">
        <v>281</v>
      </c>
      <c r="F261" s="134" t="s">
        <v>282</v>
      </c>
      <c r="G261" s="134" t="s">
        <v>232</v>
      </c>
      <c r="H261" s="134" t="s">
        <v>233</v>
      </c>
      <c r="I261" s="134" t="s">
        <v>322</v>
      </c>
      <c r="J261" s="136">
        <v>467281.75</v>
      </c>
    </row>
    <row r="262" spans="1:10" ht="45.75" thickBot="1" x14ac:dyDescent="0.3">
      <c r="A262" s="139" t="s">
        <v>90</v>
      </c>
      <c r="B262" s="139" t="s">
        <v>89</v>
      </c>
      <c r="C262" s="134" t="s">
        <v>123</v>
      </c>
      <c r="D262" s="134" t="s">
        <v>25</v>
      </c>
      <c r="E262" s="134" t="s">
        <v>281</v>
      </c>
      <c r="F262" s="134" t="s">
        <v>282</v>
      </c>
      <c r="G262" s="134" t="s">
        <v>232</v>
      </c>
      <c r="H262" s="134" t="s">
        <v>233</v>
      </c>
      <c r="I262" s="134" t="s">
        <v>323</v>
      </c>
      <c r="J262" s="135">
        <v>281416.03999999998</v>
      </c>
    </row>
    <row r="263" spans="1:10" ht="34.5" thickBot="1" x14ac:dyDescent="0.3">
      <c r="A263" s="139" t="s">
        <v>90</v>
      </c>
      <c r="B263" s="139" t="s">
        <v>89</v>
      </c>
      <c r="C263" s="134" t="s">
        <v>123</v>
      </c>
      <c r="D263" s="134" t="s">
        <v>25</v>
      </c>
      <c r="E263" s="134" t="s">
        <v>281</v>
      </c>
      <c r="F263" s="134" t="s">
        <v>282</v>
      </c>
      <c r="G263" s="134" t="s">
        <v>232</v>
      </c>
      <c r="H263" s="134" t="s">
        <v>233</v>
      </c>
      <c r="I263" s="134" t="s">
        <v>235</v>
      </c>
      <c r="J263" s="136">
        <v>814140.16</v>
      </c>
    </row>
    <row r="264" spans="1:10" ht="34.5" thickBot="1" x14ac:dyDescent="0.3">
      <c r="A264" s="139" t="s">
        <v>90</v>
      </c>
      <c r="B264" s="139" t="s">
        <v>89</v>
      </c>
      <c r="C264" s="134" t="s">
        <v>123</v>
      </c>
      <c r="D264" s="134" t="s">
        <v>25</v>
      </c>
      <c r="E264" s="134" t="s">
        <v>281</v>
      </c>
      <c r="F264" s="134" t="s">
        <v>282</v>
      </c>
      <c r="G264" s="134" t="s">
        <v>232</v>
      </c>
      <c r="H264" s="134" t="s">
        <v>233</v>
      </c>
      <c r="I264" s="134" t="s">
        <v>324</v>
      </c>
      <c r="J264" s="135">
        <v>95779.09</v>
      </c>
    </row>
    <row r="265" spans="1:10" ht="34.5" thickBot="1" x14ac:dyDescent="0.3">
      <c r="A265" s="139" t="s">
        <v>90</v>
      </c>
      <c r="B265" s="139" t="s">
        <v>89</v>
      </c>
      <c r="C265" s="134" t="s">
        <v>123</v>
      </c>
      <c r="D265" s="134" t="s">
        <v>25</v>
      </c>
      <c r="E265" s="134" t="s">
        <v>281</v>
      </c>
      <c r="F265" s="134" t="s">
        <v>282</v>
      </c>
      <c r="G265" s="134" t="s">
        <v>232</v>
      </c>
      <c r="H265" s="134" t="s">
        <v>233</v>
      </c>
      <c r="I265" s="143" t="s">
        <v>64</v>
      </c>
      <c r="J265" s="137">
        <f>SUM(J220:J264)</f>
        <v>6916746.9299999997</v>
      </c>
    </row>
    <row r="266" spans="1:10" ht="23.25" thickBot="1" x14ac:dyDescent="0.3">
      <c r="A266" s="139" t="s">
        <v>90</v>
      </c>
      <c r="B266" s="139" t="s">
        <v>89</v>
      </c>
      <c r="C266" s="134" t="s">
        <v>131</v>
      </c>
      <c r="D266" s="134" t="s">
        <v>132</v>
      </c>
      <c r="E266" s="134" t="s">
        <v>230</v>
      </c>
      <c r="F266" s="134" t="s">
        <v>231</v>
      </c>
      <c r="G266" s="134" t="s">
        <v>232</v>
      </c>
      <c r="H266" s="134" t="s">
        <v>233</v>
      </c>
      <c r="I266" s="134" t="s">
        <v>325</v>
      </c>
      <c r="J266" s="135">
        <v>55383.08</v>
      </c>
    </row>
    <row r="267" spans="1:10" ht="34.5" thickBot="1" x14ac:dyDescent="0.3">
      <c r="A267" s="139" t="s">
        <v>90</v>
      </c>
      <c r="B267" s="139" t="s">
        <v>89</v>
      </c>
      <c r="C267" s="134" t="s">
        <v>131</v>
      </c>
      <c r="D267" s="134" t="s">
        <v>132</v>
      </c>
      <c r="E267" s="134" t="s">
        <v>230</v>
      </c>
      <c r="F267" s="134" t="s">
        <v>231</v>
      </c>
      <c r="G267" s="134" t="s">
        <v>232</v>
      </c>
      <c r="H267" s="134" t="s">
        <v>233</v>
      </c>
      <c r="I267" s="134" t="s">
        <v>326</v>
      </c>
      <c r="J267" s="136">
        <v>582338.5</v>
      </c>
    </row>
    <row r="268" spans="1:10" ht="34.5" thickBot="1" x14ac:dyDescent="0.3">
      <c r="A268" s="139" t="s">
        <v>90</v>
      </c>
      <c r="B268" s="139" t="s">
        <v>89</v>
      </c>
      <c r="C268" s="134" t="s">
        <v>131</v>
      </c>
      <c r="D268" s="134" t="s">
        <v>132</v>
      </c>
      <c r="E268" s="134" t="s">
        <v>230</v>
      </c>
      <c r="F268" s="134" t="s">
        <v>231</v>
      </c>
      <c r="G268" s="134" t="s">
        <v>232</v>
      </c>
      <c r="H268" s="134" t="s">
        <v>233</v>
      </c>
      <c r="I268" s="134" t="s">
        <v>234</v>
      </c>
      <c r="J268" s="135">
        <v>278862.34000000003</v>
      </c>
    </row>
    <row r="269" spans="1:10" ht="23.25" thickBot="1" x14ac:dyDescent="0.3">
      <c r="A269" s="139" t="s">
        <v>90</v>
      </c>
      <c r="B269" s="139" t="s">
        <v>89</v>
      </c>
      <c r="C269" s="134" t="s">
        <v>131</v>
      </c>
      <c r="D269" s="134" t="s">
        <v>132</v>
      </c>
      <c r="E269" s="134" t="s">
        <v>230</v>
      </c>
      <c r="F269" s="134" t="s">
        <v>231</v>
      </c>
      <c r="G269" s="134" t="s">
        <v>232</v>
      </c>
      <c r="H269" s="134" t="s">
        <v>233</v>
      </c>
      <c r="I269" s="134" t="s">
        <v>235</v>
      </c>
      <c r="J269" s="135">
        <v>5876595.2300000004</v>
      </c>
    </row>
    <row r="270" spans="1:10" ht="23.25" thickBot="1" x14ac:dyDescent="0.3">
      <c r="A270" s="139" t="s">
        <v>90</v>
      </c>
      <c r="B270" s="139" t="s">
        <v>89</v>
      </c>
      <c r="C270" s="134" t="s">
        <v>131</v>
      </c>
      <c r="D270" s="134" t="s">
        <v>132</v>
      </c>
      <c r="E270" s="134" t="s">
        <v>230</v>
      </c>
      <c r="F270" s="134" t="s">
        <v>231</v>
      </c>
      <c r="G270" s="134" t="s">
        <v>232</v>
      </c>
      <c r="H270" s="134" t="s">
        <v>233</v>
      </c>
      <c r="I270" s="143" t="s">
        <v>64</v>
      </c>
      <c r="J270" s="137">
        <f>SUM(J266:J269)</f>
        <v>6793179.1500000004</v>
      </c>
    </row>
    <row r="271" spans="1:10" ht="23.25" thickBot="1" x14ac:dyDescent="0.3">
      <c r="A271" s="139" t="s">
        <v>90</v>
      </c>
      <c r="B271" s="139" t="s">
        <v>89</v>
      </c>
      <c r="C271" s="134" t="s">
        <v>139</v>
      </c>
      <c r="D271" s="134" t="s">
        <v>24</v>
      </c>
      <c r="E271" s="134" t="s">
        <v>327</v>
      </c>
      <c r="F271" s="134" t="s">
        <v>328</v>
      </c>
      <c r="G271" s="134" t="s">
        <v>232</v>
      </c>
      <c r="H271" s="134" t="s">
        <v>233</v>
      </c>
      <c r="I271" s="134" t="s">
        <v>329</v>
      </c>
      <c r="J271" s="135">
        <v>13599.45</v>
      </c>
    </row>
    <row r="272" spans="1:10" ht="23.25" thickBot="1" x14ac:dyDescent="0.3">
      <c r="A272" s="139" t="s">
        <v>90</v>
      </c>
      <c r="B272" s="139" t="s">
        <v>89</v>
      </c>
      <c r="C272" s="134" t="s">
        <v>139</v>
      </c>
      <c r="D272" s="134" t="s">
        <v>24</v>
      </c>
      <c r="E272" s="134" t="s">
        <v>327</v>
      </c>
      <c r="F272" s="134" t="s">
        <v>328</v>
      </c>
      <c r="G272" s="134" t="s">
        <v>232</v>
      </c>
      <c r="H272" s="134" t="s">
        <v>233</v>
      </c>
      <c r="I272" s="134" t="s">
        <v>330</v>
      </c>
      <c r="J272" s="136">
        <v>5592.5</v>
      </c>
    </row>
    <row r="273" spans="1:10" ht="23.25" thickBot="1" x14ac:dyDescent="0.3">
      <c r="A273" s="139" t="s">
        <v>90</v>
      </c>
      <c r="B273" s="139" t="s">
        <v>89</v>
      </c>
      <c r="C273" s="134" t="s">
        <v>139</v>
      </c>
      <c r="D273" s="134" t="s">
        <v>24</v>
      </c>
      <c r="E273" s="134" t="s">
        <v>327</v>
      </c>
      <c r="F273" s="134" t="s">
        <v>328</v>
      </c>
      <c r="G273" s="134" t="s">
        <v>232</v>
      </c>
      <c r="H273" s="134" t="s">
        <v>233</v>
      </c>
      <c r="I273" s="134" t="s">
        <v>331</v>
      </c>
      <c r="J273" s="135">
        <v>6838.25</v>
      </c>
    </row>
    <row r="274" spans="1:10" ht="23.25" thickBot="1" x14ac:dyDescent="0.3">
      <c r="A274" s="139" t="s">
        <v>90</v>
      </c>
      <c r="B274" s="139" t="s">
        <v>89</v>
      </c>
      <c r="C274" s="134" t="s">
        <v>139</v>
      </c>
      <c r="D274" s="134" t="s">
        <v>24</v>
      </c>
      <c r="E274" s="134" t="s">
        <v>327</v>
      </c>
      <c r="F274" s="134" t="s">
        <v>328</v>
      </c>
      <c r="G274" s="134" t="s">
        <v>232</v>
      </c>
      <c r="H274" s="134" t="s">
        <v>233</v>
      </c>
      <c r="I274" s="134" t="s">
        <v>332</v>
      </c>
      <c r="J274" s="136">
        <v>5305.62</v>
      </c>
    </row>
    <row r="275" spans="1:10" ht="23.25" thickBot="1" x14ac:dyDescent="0.3">
      <c r="A275" s="139" t="s">
        <v>90</v>
      </c>
      <c r="B275" s="139" t="s">
        <v>89</v>
      </c>
      <c r="C275" s="134" t="s">
        <v>139</v>
      </c>
      <c r="D275" s="134" t="s">
        <v>24</v>
      </c>
      <c r="E275" s="134" t="s">
        <v>327</v>
      </c>
      <c r="F275" s="134" t="s">
        <v>328</v>
      </c>
      <c r="G275" s="134" t="s">
        <v>232</v>
      </c>
      <c r="H275" s="134" t="s">
        <v>233</v>
      </c>
      <c r="I275" s="134" t="s">
        <v>333</v>
      </c>
      <c r="J275" s="135">
        <v>165841.51999999999</v>
      </c>
    </row>
    <row r="276" spans="1:10" ht="23.25" thickBot="1" x14ac:dyDescent="0.3">
      <c r="A276" s="139" t="s">
        <v>90</v>
      </c>
      <c r="B276" s="139" t="s">
        <v>89</v>
      </c>
      <c r="C276" s="134" t="s">
        <v>139</v>
      </c>
      <c r="D276" s="134" t="s">
        <v>24</v>
      </c>
      <c r="E276" s="134" t="s">
        <v>327</v>
      </c>
      <c r="F276" s="134" t="s">
        <v>328</v>
      </c>
      <c r="G276" s="134" t="s">
        <v>232</v>
      </c>
      <c r="H276" s="134" t="s">
        <v>233</v>
      </c>
      <c r="I276" s="134" t="s">
        <v>334</v>
      </c>
      <c r="J276" s="136">
        <v>273084.06</v>
      </c>
    </row>
    <row r="277" spans="1:10" ht="23.25" thickBot="1" x14ac:dyDescent="0.3">
      <c r="A277" s="139" t="s">
        <v>90</v>
      </c>
      <c r="B277" s="139" t="s">
        <v>89</v>
      </c>
      <c r="C277" s="134" t="s">
        <v>139</v>
      </c>
      <c r="D277" s="134" t="s">
        <v>24</v>
      </c>
      <c r="E277" s="134" t="s">
        <v>327</v>
      </c>
      <c r="F277" s="134" t="s">
        <v>328</v>
      </c>
      <c r="G277" s="134" t="s">
        <v>232</v>
      </c>
      <c r="H277" s="134" t="s">
        <v>233</v>
      </c>
      <c r="I277" s="134" t="s">
        <v>335</v>
      </c>
      <c r="J277" s="135">
        <v>10695.38</v>
      </c>
    </row>
    <row r="278" spans="1:10" ht="23.25" thickBot="1" x14ac:dyDescent="0.3">
      <c r="A278" s="139" t="s">
        <v>90</v>
      </c>
      <c r="B278" s="139" t="s">
        <v>89</v>
      </c>
      <c r="C278" s="134" t="s">
        <v>139</v>
      </c>
      <c r="D278" s="134" t="s">
        <v>24</v>
      </c>
      <c r="E278" s="134" t="s">
        <v>327</v>
      </c>
      <c r="F278" s="134" t="s">
        <v>328</v>
      </c>
      <c r="G278" s="134" t="s">
        <v>232</v>
      </c>
      <c r="H278" s="134" t="s">
        <v>233</v>
      </c>
      <c r="I278" s="134" t="s">
        <v>336</v>
      </c>
      <c r="J278" s="136">
        <v>2678.5</v>
      </c>
    </row>
    <row r="279" spans="1:10" ht="23.25" thickBot="1" x14ac:dyDescent="0.3">
      <c r="A279" s="139" t="s">
        <v>90</v>
      </c>
      <c r="B279" s="139" t="s">
        <v>89</v>
      </c>
      <c r="C279" s="134" t="s">
        <v>139</v>
      </c>
      <c r="D279" s="134" t="s">
        <v>24</v>
      </c>
      <c r="E279" s="134" t="s">
        <v>327</v>
      </c>
      <c r="F279" s="134" t="s">
        <v>328</v>
      </c>
      <c r="G279" s="134" t="s">
        <v>232</v>
      </c>
      <c r="H279" s="134" t="s">
        <v>233</v>
      </c>
      <c r="I279" s="134" t="s">
        <v>337</v>
      </c>
      <c r="J279" s="135">
        <v>172756.73</v>
      </c>
    </row>
    <row r="280" spans="1:10" ht="23.25" thickBot="1" x14ac:dyDescent="0.3">
      <c r="A280" s="139" t="s">
        <v>90</v>
      </c>
      <c r="B280" s="139" t="s">
        <v>89</v>
      </c>
      <c r="C280" s="134" t="s">
        <v>139</v>
      </c>
      <c r="D280" s="134" t="s">
        <v>24</v>
      </c>
      <c r="E280" s="134" t="s">
        <v>327</v>
      </c>
      <c r="F280" s="134" t="s">
        <v>328</v>
      </c>
      <c r="G280" s="134" t="s">
        <v>232</v>
      </c>
      <c r="H280" s="134" t="s">
        <v>233</v>
      </c>
      <c r="I280" s="134" t="s">
        <v>338</v>
      </c>
      <c r="J280" s="136">
        <v>264771.53999999998</v>
      </c>
    </row>
    <row r="281" spans="1:10" ht="23.25" thickBot="1" x14ac:dyDescent="0.3">
      <c r="A281" s="139" t="s">
        <v>90</v>
      </c>
      <c r="B281" s="139" t="s">
        <v>89</v>
      </c>
      <c r="C281" s="134" t="s">
        <v>139</v>
      </c>
      <c r="D281" s="134" t="s">
        <v>24</v>
      </c>
      <c r="E281" s="134" t="s">
        <v>327</v>
      </c>
      <c r="F281" s="134" t="s">
        <v>328</v>
      </c>
      <c r="G281" s="134" t="s">
        <v>232</v>
      </c>
      <c r="H281" s="134" t="s">
        <v>233</v>
      </c>
      <c r="I281" s="134" t="s">
        <v>339</v>
      </c>
      <c r="J281" s="135">
        <v>3918.04</v>
      </c>
    </row>
    <row r="282" spans="1:10" ht="23.25" thickBot="1" x14ac:dyDescent="0.3">
      <c r="A282" s="139" t="s">
        <v>90</v>
      </c>
      <c r="B282" s="139" t="s">
        <v>89</v>
      </c>
      <c r="C282" s="134" t="s">
        <v>139</v>
      </c>
      <c r="D282" s="134" t="s">
        <v>24</v>
      </c>
      <c r="E282" s="134" t="s">
        <v>327</v>
      </c>
      <c r="F282" s="134" t="s">
        <v>328</v>
      </c>
      <c r="G282" s="134" t="s">
        <v>232</v>
      </c>
      <c r="H282" s="134" t="s">
        <v>233</v>
      </c>
      <c r="I282" s="134" t="s">
        <v>340</v>
      </c>
      <c r="J282" s="136">
        <v>9330.26</v>
      </c>
    </row>
    <row r="283" spans="1:10" ht="23.25" thickBot="1" x14ac:dyDescent="0.3">
      <c r="A283" s="139" t="s">
        <v>90</v>
      </c>
      <c r="B283" s="139" t="s">
        <v>89</v>
      </c>
      <c r="C283" s="134" t="s">
        <v>139</v>
      </c>
      <c r="D283" s="134" t="s">
        <v>24</v>
      </c>
      <c r="E283" s="134" t="s">
        <v>327</v>
      </c>
      <c r="F283" s="134" t="s">
        <v>328</v>
      </c>
      <c r="G283" s="134" t="s">
        <v>232</v>
      </c>
      <c r="H283" s="134" t="s">
        <v>233</v>
      </c>
      <c r="I283" s="134" t="s">
        <v>341</v>
      </c>
      <c r="J283" s="135">
        <v>157295.48000000001</v>
      </c>
    </row>
    <row r="284" spans="1:10" ht="23.25" thickBot="1" x14ac:dyDescent="0.3">
      <c r="A284" s="139" t="s">
        <v>90</v>
      </c>
      <c r="B284" s="139" t="s">
        <v>89</v>
      </c>
      <c r="C284" s="134" t="s">
        <v>139</v>
      </c>
      <c r="D284" s="134" t="s">
        <v>24</v>
      </c>
      <c r="E284" s="134" t="s">
        <v>327</v>
      </c>
      <c r="F284" s="134" t="s">
        <v>328</v>
      </c>
      <c r="G284" s="134" t="s">
        <v>232</v>
      </c>
      <c r="H284" s="134" t="s">
        <v>233</v>
      </c>
      <c r="I284" s="134" t="s">
        <v>342</v>
      </c>
      <c r="J284" s="136">
        <v>239176.46</v>
      </c>
    </row>
    <row r="285" spans="1:10" ht="23.25" thickBot="1" x14ac:dyDescent="0.3">
      <c r="A285" s="139" t="s">
        <v>90</v>
      </c>
      <c r="B285" s="139" t="s">
        <v>89</v>
      </c>
      <c r="C285" s="134" t="s">
        <v>139</v>
      </c>
      <c r="D285" s="134" t="s">
        <v>24</v>
      </c>
      <c r="E285" s="134" t="s">
        <v>327</v>
      </c>
      <c r="F285" s="134" t="s">
        <v>328</v>
      </c>
      <c r="G285" s="134" t="s">
        <v>232</v>
      </c>
      <c r="H285" s="134" t="s">
        <v>233</v>
      </c>
      <c r="I285" s="134" t="s">
        <v>343</v>
      </c>
      <c r="J285" s="135">
        <v>6007.08</v>
      </c>
    </row>
    <row r="286" spans="1:10" ht="23.25" thickBot="1" x14ac:dyDescent="0.3">
      <c r="A286" s="139" t="s">
        <v>90</v>
      </c>
      <c r="B286" s="139" t="s">
        <v>89</v>
      </c>
      <c r="C286" s="134" t="s">
        <v>139</v>
      </c>
      <c r="D286" s="134" t="s">
        <v>24</v>
      </c>
      <c r="E286" s="134" t="s">
        <v>327</v>
      </c>
      <c r="F286" s="134" t="s">
        <v>328</v>
      </c>
      <c r="G286" s="134" t="s">
        <v>232</v>
      </c>
      <c r="H286" s="134" t="s">
        <v>233</v>
      </c>
      <c r="I286" s="134" t="s">
        <v>344</v>
      </c>
      <c r="J286" s="136">
        <v>4821.49</v>
      </c>
    </row>
    <row r="287" spans="1:10" ht="23.25" thickBot="1" x14ac:dyDescent="0.3">
      <c r="A287" s="139" t="s">
        <v>90</v>
      </c>
      <c r="B287" s="139" t="s">
        <v>89</v>
      </c>
      <c r="C287" s="134" t="s">
        <v>139</v>
      </c>
      <c r="D287" s="134" t="s">
        <v>24</v>
      </c>
      <c r="E287" s="134" t="s">
        <v>327</v>
      </c>
      <c r="F287" s="134" t="s">
        <v>328</v>
      </c>
      <c r="G287" s="134" t="s">
        <v>232</v>
      </c>
      <c r="H287" s="134" t="s">
        <v>233</v>
      </c>
      <c r="I287" s="134" t="s">
        <v>345</v>
      </c>
      <c r="J287" s="135">
        <v>183433.77</v>
      </c>
    </row>
    <row r="288" spans="1:10" ht="23.25" thickBot="1" x14ac:dyDescent="0.3">
      <c r="A288" s="139" t="s">
        <v>90</v>
      </c>
      <c r="B288" s="139" t="s">
        <v>89</v>
      </c>
      <c r="C288" s="134" t="s">
        <v>139</v>
      </c>
      <c r="D288" s="134" t="s">
        <v>24</v>
      </c>
      <c r="E288" s="134" t="s">
        <v>327</v>
      </c>
      <c r="F288" s="134" t="s">
        <v>328</v>
      </c>
      <c r="G288" s="134" t="s">
        <v>232</v>
      </c>
      <c r="H288" s="134" t="s">
        <v>233</v>
      </c>
      <c r="I288" s="134" t="s">
        <v>346</v>
      </c>
      <c r="J288" s="136">
        <v>271433.65000000002</v>
      </c>
    </row>
    <row r="289" spans="1:10" ht="23.25" thickBot="1" x14ac:dyDescent="0.3">
      <c r="A289" s="139" t="s">
        <v>90</v>
      </c>
      <c r="B289" s="139" t="s">
        <v>89</v>
      </c>
      <c r="C289" s="134" t="s">
        <v>139</v>
      </c>
      <c r="D289" s="134" t="s">
        <v>24</v>
      </c>
      <c r="E289" s="134" t="s">
        <v>327</v>
      </c>
      <c r="F289" s="134" t="s">
        <v>328</v>
      </c>
      <c r="G289" s="134" t="s">
        <v>232</v>
      </c>
      <c r="H289" s="134" t="s">
        <v>233</v>
      </c>
      <c r="I289" s="134" t="s">
        <v>347</v>
      </c>
      <c r="J289" s="135">
        <v>12443.08</v>
      </c>
    </row>
    <row r="290" spans="1:10" ht="23.25" thickBot="1" x14ac:dyDescent="0.3">
      <c r="A290" s="139" t="s">
        <v>90</v>
      </c>
      <c r="B290" s="139" t="s">
        <v>89</v>
      </c>
      <c r="C290" s="134" t="s">
        <v>139</v>
      </c>
      <c r="D290" s="134" t="s">
        <v>24</v>
      </c>
      <c r="E290" s="134" t="s">
        <v>327</v>
      </c>
      <c r="F290" s="134" t="s">
        <v>328</v>
      </c>
      <c r="G290" s="134" t="s">
        <v>232</v>
      </c>
      <c r="H290" s="134" t="s">
        <v>233</v>
      </c>
      <c r="I290" s="134" t="s">
        <v>348</v>
      </c>
      <c r="J290" s="136">
        <v>1728.97</v>
      </c>
    </row>
    <row r="291" spans="1:10" ht="23.25" thickBot="1" x14ac:dyDescent="0.3">
      <c r="A291" s="139" t="s">
        <v>90</v>
      </c>
      <c r="B291" s="139" t="s">
        <v>89</v>
      </c>
      <c r="C291" s="134" t="s">
        <v>139</v>
      </c>
      <c r="D291" s="134" t="s">
        <v>24</v>
      </c>
      <c r="E291" s="134" t="s">
        <v>327</v>
      </c>
      <c r="F291" s="134" t="s">
        <v>328</v>
      </c>
      <c r="G291" s="134" t="s">
        <v>232</v>
      </c>
      <c r="H291" s="134" t="s">
        <v>233</v>
      </c>
      <c r="I291" s="134" t="s">
        <v>349</v>
      </c>
      <c r="J291" s="135">
        <v>181900.93</v>
      </c>
    </row>
    <row r="292" spans="1:10" ht="23.25" thickBot="1" x14ac:dyDescent="0.3">
      <c r="A292" s="139" t="s">
        <v>90</v>
      </c>
      <c r="B292" s="139" t="s">
        <v>89</v>
      </c>
      <c r="C292" s="134" t="s">
        <v>139</v>
      </c>
      <c r="D292" s="134" t="s">
        <v>24</v>
      </c>
      <c r="E292" s="134" t="s">
        <v>327</v>
      </c>
      <c r="F292" s="134" t="s">
        <v>328</v>
      </c>
      <c r="G292" s="134" t="s">
        <v>232</v>
      </c>
      <c r="H292" s="134" t="s">
        <v>233</v>
      </c>
      <c r="I292" s="134" t="s">
        <v>350</v>
      </c>
      <c r="J292" s="136">
        <v>266262.25</v>
      </c>
    </row>
    <row r="293" spans="1:10" ht="23.25" thickBot="1" x14ac:dyDescent="0.3">
      <c r="A293" s="139" t="s">
        <v>90</v>
      </c>
      <c r="B293" s="139" t="s">
        <v>89</v>
      </c>
      <c r="C293" s="134" t="s">
        <v>139</v>
      </c>
      <c r="D293" s="134" t="s">
        <v>24</v>
      </c>
      <c r="E293" s="134" t="s">
        <v>327</v>
      </c>
      <c r="F293" s="134" t="s">
        <v>328</v>
      </c>
      <c r="G293" s="134" t="s">
        <v>232</v>
      </c>
      <c r="H293" s="134" t="s">
        <v>233</v>
      </c>
      <c r="I293" s="134" t="s">
        <v>351</v>
      </c>
      <c r="J293" s="135">
        <v>6237.82</v>
      </c>
    </row>
    <row r="294" spans="1:10" ht="23.25" thickBot="1" x14ac:dyDescent="0.3">
      <c r="A294" s="139" t="s">
        <v>90</v>
      </c>
      <c r="B294" s="139" t="s">
        <v>89</v>
      </c>
      <c r="C294" s="134" t="s">
        <v>139</v>
      </c>
      <c r="D294" s="134" t="s">
        <v>24</v>
      </c>
      <c r="E294" s="134" t="s">
        <v>327</v>
      </c>
      <c r="F294" s="134" t="s">
        <v>328</v>
      </c>
      <c r="G294" s="134" t="s">
        <v>232</v>
      </c>
      <c r="H294" s="134" t="s">
        <v>233</v>
      </c>
      <c r="I294" s="134" t="s">
        <v>352</v>
      </c>
      <c r="J294" s="136">
        <v>11000.49</v>
      </c>
    </row>
    <row r="295" spans="1:10" ht="23.25" thickBot="1" x14ac:dyDescent="0.3">
      <c r="A295" s="139" t="s">
        <v>90</v>
      </c>
      <c r="B295" s="139" t="s">
        <v>89</v>
      </c>
      <c r="C295" s="134" t="s">
        <v>139</v>
      </c>
      <c r="D295" s="134" t="s">
        <v>24</v>
      </c>
      <c r="E295" s="134" t="s">
        <v>327</v>
      </c>
      <c r="F295" s="134" t="s">
        <v>328</v>
      </c>
      <c r="G295" s="134" t="s">
        <v>232</v>
      </c>
      <c r="H295" s="134" t="s">
        <v>233</v>
      </c>
      <c r="I295" s="134" t="s">
        <v>353</v>
      </c>
      <c r="J295" s="135">
        <v>194025.43</v>
      </c>
    </row>
    <row r="296" spans="1:10" ht="23.25" thickBot="1" x14ac:dyDescent="0.3">
      <c r="A296" s="139" t="s">
        <v>90</v>
      </c>
      <c r="B296" s="139" t="s">
        <v>89</v>
      </c>
      <c r="C296" s="134" t="s">
        <v>139</v>
      </c>
      <c r="D296" s="134" t="s">
        <v>24</v>
      </c>
      <c r="E296" s="134" t="s">
        <v>327</v>
      </c>
      <c r="F296" s="134" t="s">
        <v>328</v>
      </c>
      <c r="G296" s="134" t="s">
        <v>232</v>
      </c>
      <c r="H296" s="134" t="s">
        <v>233</v>
      </c>
      <c r="I296" s="134" t="s">
        <v>354</v>
      </c>
      <c r="J296" s="136">
        <v>291473.28999999998</v>
      </c>
    </row>
    <row r="297" spans="1:10" ht="23.25" thickBot="1" x14ac:dyDescent="0.3">
      <c r="A297" s="139" t="s">
        <v>90</v>
      </c>
      <c r="B297" s="139" t="s">
        <v>89</v>
      </c>
      <c r="C297" s="134" t="s">
        <v>139</v>
      </c>
      <c r="D297" s="134" t="s">
        <v>24</v>
      </c>
      <c r="E297" s="134" t="s">
        <v>327</v>
      </c>
      <c r="F297" s="134" t="s">
        <v>328</v>
      </c>
      <c r="G297" s="134" t="s">
        <v>232</v>
      </c>
      <c r="H297" s="134" t="s">
        <v>233</v>
      </c>
      <c r="I297" s="134" t="s">
        <v>355</v>
      </c>
      <c r="J297" s="135">
        <v>3930.19</v>
      </c>
    </row>
    <row r="298" spans="1:10" ht="23.25" thickBot="1" x14ac:dyDescent="0.3">
      <c r="A298" s="139" t="s">
        <v>90</v>
      </c>
      <c r="B298" s="139" t="s">
        <v>89</v>
      </c>
      <c r="C298" s="134" t="s">
        <v>139</v>
      </c>
      <c r="D298" s="134" t="s">
        <v>24</v>
      </c>
      <c r="E298" s="134" t="s">
        <v>327</v>
      </c>
      <c r="F298" s="134" t="s">
        <v>328</v>
      </c>
      <c r="G298" s="134" t="s">
        <v>232</v>
      </c>
      <c r="H298" s="134" t="s">
        <v>233</v>
      </c>
      <c r="I298" s="134" t="s">
        <v>356</v>
      </c>
      <c r="J298" s="136">
        <v>6176.73</v>
      </c>
    </row>
    <row r="299" spans="1:10" ht="23.25" thickBot="1" x14ac:dyDescent="0.3">
      <c r="A299" s="139" t="s">
        <v>90</v>
      </c>
      <c r="B299" s="139" t="s">
        <v>89</v>
      </c>
      <c r="C299" s="134" t="s">
        <v>139</v>
      </c>
      <c r="D299" s="134" t="s">
        <v>24</v>
      </c>
      <c r="E299" s="134" t="s">
        <v>327</v>
      </c>
      <c r="F299" s="134" t="s">
        <v>328</v>
      </c>
      <c r="G299" s="134" t="s">
        <v>232</v>
      </c>
      <c r="H299" s="134" t="s">
        <v>233</v>
      </c>
      <c r="I299" s="134" t="s">
        <v>357</v>
      </c>
      <c r="J299" s="135">
        <v>185859.43</v>
      </c>
    </row>
    <row r="300" spans="1:10" ht="23.25" thickBot="1" x14ac:dyDescent="0.3">
      <c r="A300" s="139" t="s">
        <v>90</v>
      </c>
      <c r="B300" s="139" t="s">
        <v>89</v>
      </c>
      <c r="C300" s="134" t="s">
        <v>139</v>
      </c>
      <c r="D300" s="134" t="s">
        <v>24</v>
      </c>
      <c r="E300" s="134" t="s">
        <v>327</v>
      </c>
      <c r="F300" s="134" t="s">
        <v>328</v>
      </c>
      <c r="G300" s="134" t="s">
        <v>232</v>
      </c>
      <c r="H300" s="134" t="s">
        <v>233</v>
      </c>
      <c r="I300" s="134" t="s">
        <v>358</v>
      </c>
      <c r="J300" s="136">
        <v>291508.12</v>
      </c>
    </row>
    <row r="301" spans="1:10" ht="23.25" thickBot="1" x14ac:dyDescent="0.3">
      <c r="A301" s="139" t="s">
        <v>90</v>
      </c>
      <c r="B301" s="139" t="s">
        <v>89</v>
      </c>
      <c r="C301" s="134" t="s">
        <v>139</v>
      </c>
      <c r="D301" s="134" t="s">
        <v>24</v>
      </c>
      <c r="E301" s="134" t="s">
        <v>327</v>
      </c>
      <c r="F301" s="134" t="s">
        <v>328</v>
      </c>
      <c r="G301" s="134" t="s">
        <v>232</v>
      </c>
      <c r="H301" s="134" t="s">
        <v>233</v>
      </c>
      <c r="I301" s="134" t="s">
        <v>359</v>
      </c>
      <c r="J301" s="135">
        <v>181696.06</v>
      </c>
    </row>
    <row r="302" spans="1:10" ht="23.25" thickBot="1" x14ac:dyDescent="0.3">
      <c r="A302" s="139" t="s">
        <v>90</v>
      </c>
      <c r="B302" s="139" t="s">
        <v>89</v>
      </c>
      <c r="C302" s="134" t="s">
        <v>139</v>
      </c>
      <c r="D302" s="134" t="s">
        <v>24</v>
      </c>
      <c r="E302" s="134" t="s">
        <v>327</v>
      </c>
      <c r="F302" s="134" t="s">
        <v>328</v>
      </c>
      <c r="G302" s="134" t="s">
        <v>232</v>
      </c>
      <c r="H302" s="134" t="s">
        <v>233</v>
      </c>
      <c r="I302" s="134" t="s">
        <v>360</v>
      </c>
      <c r="J302" s="136">
        <v>301528.34000000003</v>
      </c>
    </row>
    <row r="303" spans="1:10" ht="23.25" thickBot="1" x14ac:dyDescent="0.3">
      <c r="A303" s="139" t="s">
        <v>90</v>
      </c>
      <c r="B303" s="139" t="s">
        <v>89</v>
      </c>
      <c r="C303" s="134" t="s">
        <v>139</v>
      </c>
      <c r="D303" s="134" t="s">
        <v>24</v>
      </c>
      <c r="E303" s="134" t="s">
        <v>327</v>
      </c>
      <c r="F303" s="134" t="s">
        <v>328</v>
      </c>
      <c r="G303" s="134" t="s">
        <v>232</v>
      </c>
      <c r="H303" s="134" t="s">
        <v>233</v>
      </c>
      <c r="I303" s="134" t="s">
        <v>361</v>
      </c>
      <c r="J303" s="135">
        <v>5622.41</v>
      </c>
    </row>
    <row r="304" spans="1:10" ht="23.25" thickBot="1" x14ac:dyDescent="0.3">
      <c r="A304" s="139" t="s">
        <v>90</v>
      </c>
      <c r="B304" s="139" t="s">
        <v>89</v>
      </c>
      <c r="C304" s="134" t="s">
        <v>139</v>
      </c>
      <c r="D304" s="134" t="s">
        <v>24</v>
      </c>
      <c r="E304" s="134" t="s">
        <v>327</v>
      </c>
      <c r="F304" s="134" t="s">
        <v>328</v>
      </c>
      <c r="G304" s="134" t="s">
        <v>232</v>
      </c>
      <c r="H304" s="134" t="s">
        <v>233</v>
      </c>
      <c r="I304" s="134" t="s">
        <v>362</v>
      </c>
      <c r="J304" s="136">
        <v>4757.45</v>
      </c>
    </row>
    <row r="305" spans="1:10" ht="23.25" thickBot="1" x14ac:dyDescent="0.3">
      <c r="A305" s="139" t="s">
        <v>90</v>
      </c>
      <c r="B305" s="139" t="s">
        <v>89</v>
      </c>
      <c r="C305" s="134" t="s">
        <v>139</v>
      </c>
      <c r="D305" s="134" t="s">
        <v>24</v>
      </c>
      <c r="E305" s="134" t="s">
        <v>327</v>
      </c>
      <c r="F305" s="134" t="s">
        <v>328</v>
      </c>
      <c r="G305" s="134" t="s">
        <v>232</v>
      </c>
      <c r="H305" s="134" t="s">
        <v>233</v>
      </c>
      <c r="I305" s="134" t="s">
        <v>363</v>
      </c>
      <c r="J305" s="135">
        <v>186996.26</v>
      </c>
    </row>
    <row r="306" spans="1:10" ht="23.25" thickBot="1" x14ac:dyDescent="0.3">
      <c r="A306" s="139" t="s">
        <v>90</v>
      </c>
      <c r="B306" s="139" t="s">
        <v>89</v>
      </c>
      <c r="C306" s="134" t="s">
        <v>139</v>
      </c>
      <c r="D306" s="134" t="s">
        <v>24</v>
      </c>
      <c r="E306" s="134" t="s">
        <v>327</v>
      </c>
      <c r="F306" s="134" t="s">
        <v>328</v>
      </c>
      <c r="G306" s="134" t="s">
        <v>232</v>
      </c>
      <c r="H306" s="134" t="s">
        <v>233</v>
      </c>
      <c r="I306" s="134" t="s">
        <v>364</v>
      </c>
      <c r="J306" s="136">
        <v>303617.52</v>
      </c>
    </row>
    <row r="307" spans="1:10" ht="23.25" thickBot="1" x14ac:dyDescent="0.3">
      <c r="A307" s="139" t="s">
        <v>90</v>
      </c>
      <c r="B307" s="139" t="s">
        <v>89</v>
      </c>
      <c r="C307" s="134" t="s">
        <v>139</v>
      </c>
      <c r="D307" s="134" t="s">
        <v>24</v>
      </c>
      <c r="E307" s="134" t="s">
        <v>327</v>
      </c>
      <c r="F307" s="134" t="s">
        <v>328</v>
      </c>
      <c r="G307" s="134" t="s">
        <v>232</v>
      </c>
      <c r="H307" s="134" t="s">
        <v>233</v>
      </c>
      <c r="I307" s="134" t="s">
        <v>365</v>
      </c>
      <c r="J307" s="135">
        <v>5580.27</v>
      </c>
    </row>
    <row r="308" spans="1:10" ht="23.25" thickBot="1" x14ac:dyDescent="0.3">
      <c r="A308" s="139" t="s">
        <v>90</v>
      </c>
      <c r="B308" s="139" t="s">
        <v>89</v>
      </c>
      <c r="C308" s="134" t="s">
        <v>139</v>
      </c>
      <c r="D308" s="134" t="s">
        <v>24</v>
      </c>
      <c r="E308" s="134" t="s">
        <v>327</v>
      </c>
      <c r="F308" s="134" t="s">
        <v>328</v>
      </c>
      <c r="G308" s="134" t="s">
        <v>232</v>
      </c>
      <c r="H308" s="134" t="s">
        <v>233</v>
      </c>
      <c r="I308" s="134" t="s">
        <v>366</v>
      </c>
      <c r="J308" s="136">
        <v>5195.8100000000004</v>
      </c>
    </row>
    <row r="309" spans="1:10" ht="23.25" thickBot="1" x14ac:dyDescent="0.3">
      <c r="A309" s="139" t="s">
        <v>90</v>
      </c>
      <c r="B309" s="139" t="s">
        <v>89</v>
      </c>
      <c r="C309" s="134" t="s">
        <v>139</v>
      </c>
      <c r="D309" s="134" t="s">
        <v>24</v>
      </c>
      <c r="E309" s="134" t="s">
        <v>327</v>
      </c>
      <c r="F309" s="134" t="s">
        <v>328</v>
      </c>
      <c r="G309" s="134" t="s">
        <v>232</v>
      </c>
      <c r="H309" s="134" t="s">
        <v>233</v>
      </c>
      <c r="I309" s="134" t="s">
        <v>367</v>
      </c>
      <c r="J309" s="135">
        <v>121455.86</v>
      </c>
    </row>
    <row r="310" spans="1:10" ht="23.25" thickBot="1" x14ac:dyDescent="0.3">
      <c r="A310" s="139" t="s">
        <v>90</v>
      </c>
      <c r="B310" s="139" t="s">
        <v>89</v>
      </c>
      <c r="C310" s="134" t="s">
        <v>139</v>
      </c>
      <c r="D310" s="134" t="s">
        <v>24</v>
      </c>
      <c r="E310" s="134" t="s">
        <v>327</v>
      </c>
      <c r="F310" s="134" t="s">
        <v>328</v>
      </c>
      <c r="G310" s="134" t="s">
        <v>232</v>
      </c>
      <c r="H310" s="134" t="s">
        <v>233</v>
      </c>
      <c r="I310" s="134" t="s">
        <v>368</v>
      </c>
      <c r="J310" s="136">
        <v>267629.09999999998</v>
      </c>
    </row>
    <row r="311" spans="1:10" ht="23.25" thickBot="1" x14ac:dyDescent="0.3">
      <c r="A311" s="139" t="s">
        <v>90</v>
      </c>
      <c r="B311" s="139" t="s">
        <v>89</v>
      </c>
      <c r="C311" s="134" t="s">
        <v>139</v>
      </c>
      <c r="D311" s="134" t="s">
        <v>24</v>
      </c>
      <c r="E311" s="134" t="s">
        <v>327</v>
      </c>
      <c r="F311" s="134" t="s">
        <v>328</v>
      </c>
      <c r="G311" s="134" t="s">
        <v>232</v>
      </c>
      <c r="H311" s="134" t="s">
        <v>233</v>
      </c>
      <c r="I311" s="134" t="s">
        <v>369</v>
      </c>
      <c r="J311" s="135">
        <v>8214.5300000000007</v>
      </c>
    </row>
    <row r="312" spans="1:10" ht="23.25" thickBot="1" x14ac:dyDescent="0.3">
      <c r="A312" s="139" t="s">
        <v>90</v>
      </c>
      <c r="B312" s="139" t="s">
        <v>89</v>
      </c>
      <c r="C312" s="134" t="s">
        <v>139</v>
      </c>
      <c r="D312" s="134" t="s">
        <v>24</v>
      </c>
      <c r="E312" s="134" t="s">
        <v>327</v>
      </c>
      <c r="F312" s="134" t="s">
        <v>328</v>
      </c>
      <c r="G312" s="134" t="s">
        <v>232</v>
      </c>
      <c r="H312" s="134" t="s">
        <v>233</v>
      </c>
      <c r="I312" s="134" t="s">
        <v>370</v>
      </c>
      <c r="J312" s="136">
        <v>2351.1999999999998</v>
      </c>
    </row>
    <row r="313" spans="1:10" ht="23.25" thickBot="1" x14ac:dyDescent="0.3">
      <c r="A313" s="139" t="s">
        <v>90</v>
      </c>
      <c r="B313" s="139" t="s">
        <v>89</v>
      </c>
      <c r="C313" s="134" t="s">
        <v>139</v>
      </c>
      <c r="D313" s="134" t="s">
        <v>24</v>
      </c>
      <c r="E313" s="134" t="s">
        <v>327</v>
      </c>
      <c r="F313" s="134" t="s">
        <v>328</v>
      </c>
      <c r="G313" s="134" t="s">
        <v>232</v>
      </c>
      <c r="H313" s="134" t="s">
        <v>233</v>
      </c>
      <c r="I313" s="134" t="s">
        <v>371</v>
      </c>
      <c r="J313" s="135">
        <v>136357.20000000001</v>
      </c>
    </row>
    <row r="314" spans="1:10" ht="23.25" thickBot="1" x14ac:dyDescent="0.3">
      <c r="A314" s="139" t="s">
        <v>90</v>
      </c>
      <c r="B314" s="139" t="s">
        <v>89</v>
      </c>
      <c r="C314" s="134" t="s">
        <v>139</v>
      </c>
      <c r="D314" s="134" t="s">
        <v>24</v>
      </c>
      <c r="E314" s="134" t="s">
        <v>327</v>
      </c>
      <c r="F314" s="134" t="s">
        <v>328</v>
      </c>
      <c r="G314" s="134" t="s">
        <v>232</v>
      </c>
      <c r="H314" s="134" t="s">
        <v>233</v>
      </c>
      <c r="I314" s="134" t="s">
        <v>372</v>
      </c>
      <c r="J314" s="136">
        <v>289728.8</v>
      </c>
    </row>
    <row r="315" spans="1:10" ht="23.25" thickBot="1" x14ac:dyDescent="0.3">
      <c r="A315" s="139" t="s">
        <v>90</v>
      </c>
      <c r="B315" s="139" t="s">
        <v>89</v>
      </c>
      <c r="C315" s="134" t="s">
        <v>139</v>
      </c>
      <c r="D315" s="134" t="s">
        <v>24</v>
      </c>
      <c r="E315" s="134" t="s">
        <v>327</v>
      </c>
      <c r="F315" s="134" t="s">
        <v>328</v>
      </c>
      <c r="G315" s="134" t="s">
        <v>232</v>
      </c>
      <c r="H315" s="134" t="s">
        <v>233</v>
      </c>
      <c r="I315" s="134" t="s">
        <v>373</v>
      </c>
      <c r="J315" s="135">
        <v>14249.93</v>
      </c>
    </row>
    <row r="316" spans="1:10" ht="23.25" thickBot="1" x14ac:dyDescent="0.3">
      <c r="A316" s="139" t="s">
        <v>90</v>
      </c>
      <c r="B316" s="139" t="s">
        <v>89</v>
      </c>
      <c r="C316" s="134" t="s">
        <v>139</v>
      </c>
      <c r="D316" s="134" t="s">
        <v>24</v>
      </c>
      <c r="E316" s="134" t="s">
        <v>327</v>
      </c>
      <c r="F316" s="134" t="s">
        <v>328</v>
      </c>
      <c r="G316" s="134" t="s">
        <v>232</v>
      </c>
      <c r="H316" s="134" t="s">
        <v>233</v>
      </c>
      <c r="I316" s="134" t="s">
        <v>374</v>
      </c>
      <c r="J316" s="136">
        <v>7504.22</v>
      </c>
    </row>
    <row r="317" spans="1:10" ht="23.25" thickBot="1" x14ac:dyDescent="0.3">
      <c r="A317" s="139" t="s">
        <v>90</v>
      </c>
      <c r="B317" s="139" t="s">
        <v>89</v>
      </c>
      <c r="C317" s="134" t="s">
        <v>139</v>
      </c>
      <c r="D317" s="134" t="s">
        <v>24</v>
      </c>
      <c r="E317" s="134" t="s">
        <v>327</v>
      </c>
      <c r="F317" s="134" t="s">
        <v>328</v>
      </c>
      <c r="G317" s="134" t="s">
        <v>232</v>
      </c>
      <c r="H317" s="134" t="s">
        <v>233</v>
      </c>
      <c r="I317" s="134" t="s">
        <v>375</v>
      </c>
      <c r="J317" s="135">
        <v>119302.72</v>
      </c>
    </row>
    <row r="318" spans="1:10" ht="23.25" thickBot="1" x14ac:dyDescent="0.3">
      <c r="A318" s="139" t="s">
        <v>90</v>
      </c>
      <c r="B318" s="139" t="s">
        <v>89</v>
      </c>
      <c r="C318" s="134" t="s">
        <v>139</v>
      </c>
      <c r="D318" s="134" t="s">
        <v>24</v>
      </c>
      <c r="E318" s="134" t="s">
        <v>327</v>
      </c>
      <c r="F318" s="134" t="s">
        <v>328</v>
      </c>
      <c r="G318" s="134" t="s">
        <v>232</v>
      </c>
      <c r="H318" s="134" t="s">
        <v>233</v>
      </c>
      <c r="I318" s="134" t="s">
        <v>376</v>
      </c>
      <c r="J318" s="136">
        <v>276198.09999999998</v>
      </c>
    </row>
    <row r="319" spans="1:10" ht="23.25" thickBot="1" x14ac:dyDescent="0.3">
      <c r="A319" s="139" t="s">
        <v>90</v>
      </c>
      <c r="B319" s="139" t="s">
        <v>89</v>
      </c>
      <c r="C319" s="134" t="s">
        <v>139</v>
      </c>
      <c r="D319" s="134" t="s">
        <v>24</v>
      </c>
      <c r="E319" s="134" t="s">
        <v>327</v>
      </c>
      <c r="F319" s="134" t="s">
        <v>328</v>
      </c>
      <c r="G319" s="134" t="s">
        <v>232</v>
      </c>
      <c r="H319" s="134" t="s">
        <v>233</v>
      </c>
      <c r="I319" s="143" t="s">
        <v>64</v>
      </c>
      <c r="J319" s="137">
        <f>SUM(J271:J318)</f>
        <v>5487112.2899999991</v>
      </c>
    </row>
    <row r="320" spans="1:10" ht="15.75" thickBot="1" x14ac:dyDescent="0.3">
      <c r="A320" s="139" t="s">
        <v>90</v>
      </c>
      <c r="B320" s="139" t="s">
        <v>89</v>
      </c>
      <c r="C320" s="352" t="s">
        <v>64</v>
      </c>
      <c r="D320" s="354"/>
      <c r="E320" s="354"/>
      <c r="F320" s="354"/>
      <c r="G320" s="354"/>
      <c r="H320" s="354"/>
      <c r="I320" s="353"/>
      <c r="J320" s="137">
        <f>+J319+J270+J265+J219+J182+J173</f>
        <v>31637084.749999996</v>
      </c>
    </row>
    <row r="321" spans="1:15" ht="15.75" thickBot="1" x14ac:dyDescent="0.3"/>
    <row r="322" spans="1:15" ht="15.75" thickBot="1" x14ac:dyDescent="0.3">
      <c r="A322" s="347"/>
      <c r="B322" s="348"/>
      <c r="C322" s="348"/>
      <c r="D322" s="348"/>
      <c r="E322" s="348"/>
      <c r="F322" s="348"/>
      <c r="G322" s="348"/>
      <c r="H322" s="349"/>
      <c r="I322" s="140"/>
      <c r="J322" s="134" t="s">
        <v>95</v>
      </c>
    </row>
    <row r="323" spans="1:15" ht="23.25" thickBot="1" x14ac:dyDescent="0.3">
      <c r="A323" s="350" t="s">
        <v>94</v>
      </c>
      <c r="B323" s="351"/>
      <c r="C323" s="134" t="s">
        <v>382</v>
      </c>
      <c r="D323" s="350" t="s">
        <v>105</v>
      </c>
      <c r="E323" s="351"/>
      <c r="F323" s="350" t="s">
        <v>228</v>
      </c>
      <c r="G323" s="351"/>
      <c r="H323" s="134" t="s">
        <v>209</v>
      </c>
      <c r="I323" s="141"/>
      <c r="J323" s="140" t="s">
        <v>91</v>
      </c>
    </row>
    <row r="324" spans="1:15" ht="23.25" thickBot="1" x14ac:dyDescent="0.3">
      <c r="A324" s="139" t="s">
        <v>90</v>
      </c>
      <c r="B324" s="139" t="s">
        <v>89</v>
      </c>
      <c r="C324" s="134" t="s">
        <v>217</v>
      </c>
      <c r="D324" s="134" t="s">
        <v>116</v>
      </c>
      <c r="E324" s="134" t="s">
        <v>26</v>
      </c>
      <c r="F324" s="134" t="s">
        <v>236</v>
      </c>
      <c r="G324" s="134" t="s">
        <v>237</v>
      </c>
      <c r="H324" s="134" t="s">
        <v>381</v>
      </c>
      <c r="I324" s="134" t="s">
        <v>380</v>
      </c>
      <c r="J324" s="136">
        <v>98012.87</v>
      </c>
    </row>
    <row r="325" spans="1:15" ht="34.5" thickBot="1" x14ac:dyDescent="0.3">
      <c r="A325" s="139" t="s">
        <v>90</v>
      </c>
      <c r="B325" s="139" t="s">
        <v>89</v>
      </c>
      <c r="C325" s="134" t="s">
        <v>217</v>
      </c>
      <c r="D325" s="134" t="s">
        <v>116</v>
      </c>
      <c r="E325" s="134" t="s">
        <v>26</v>
      </c>
      <c r="F325" s="134" t="s">
        <v>236</v>
      </c>
      <c r="G325" s="134" t="s">
        <v>237</v>
      </c>
      <c r="H325" s="134" t="s">
        <v>379</v>
      </c>
      <c r="I325" s="134" t="s">
        <v>378</v>
      </c>
      <c r="J325" s="135">
        <v>11788.44</v>
      </c>
    </row>
    <row r="326" spans="1:15" ht="23.25" thickBot="1" x14ac:dyDescent="0.3">
      <c r="A326" s="139" t="s">
        <v>90</v>
      </c>
      <c r="B326" s="139" t="s">
        <v>89</v>
      </c>
      <c r="C326" s="134" t="s">
        <v>217</v>
      </c>
      <c r="D326" s="134" t="s">
        <v>116</v>
      </c>
      <c r="E326" s="134" t="s">
        <v>26</v>
      </c>
      <c r="F326" s="134" t="s">
        <v>236</v>
      </c>
      <c r="G326" s="134" t="s">
        <v>237</v>
      </c>
      <c r="H326" s="352" t="s">
        <v>64</v>
      </c>
      <c r="I326" s="353"/>
      <c r="J326" s="137">
        <v>109801.31</v>
      </c>
    </row>
    <row r="328" spans="1:15" ht="15.75" thickBot="1" x14ac:dyDescent="0.3">
      <c r="A328" s="80" t="s">
        <v>425</v>
      </c>
      <c r="B328" s="80"/>
      <c r="C328" s="80"/>
      <c r="D328" s="80"/>
    </row>
    <row r="329" spans="1:15" ht="15.75" thickBot="1" x14ac:dyDescent="0.3">
      <c r="A329" s="347"/>
      <c r="B329" s="348"/>
      <c r="C329" s="348"/>
      <c r="D329" s="348"/>
      <c r="E329" s="348"/>
      <c r="F329" s="348"/>
      <c r="G329" s="348"/>
      <c r="H329" s="348"/>
      <c r="I329" s="348"/>
      <c r="J329" s="349"/>
      <c r="K329" s="140"/>
      <c r="L329" s="134" t="s">
        <v>95</v>
      </c>
      <c r="M329" s="211"/>
    </row>
    <row r="330" spans="1:15" ht="15.75" thickBot="1" x14ac:dyDescent="0.3">
      <c r="A330" s="350" t="s">
        <v>94</v>
      </c>
      <c r="B330" s="351"/>
      <c r="C330" s="350" t="s">
        <v>105</v>
      </c>
      <c r="D330" s="351"/>
      <c r="E330" s="350" t="s">
        <v>93</v>
      </c>
      <c r="F330" s="351"/>
      <c r="G330" s="350" t="s">
        <v>101</v>
      </c>
      <c r="H330" s="351"/>
      <c r="I330" s="350" t="s">
        <v>228</v>
      </c>
      <c r="J330" s="351"/>
      <c r="K330" s="134" t="s">
        <v>229</v>
      </c>
      <c r="L330" s="140" t="s">
        <v>91</v>
      </c>
      <c r="M330" s="211"/>
    </row>
    <row r="331" spans="1:15" ht="34.5" thickBot="1" x14ac:dyDescent="0.3">
      <c r="A331" s="132" t="s">
        <v>54</v>
      </c>
      <c r="B331" s="133" t="s">
        <v>55</v>
      </c>
      <c r="C331" s="134" t="s">
        <v>106</v>
      </c>
      <c r="D331" s="134" t="s">
        <v>107</v>
      </c>
      <c r="E331" s="134" t="s">
        <v>56</v>
      </c>
      <c r="F331" s="134" t="s">
        <v>385</v>
      </c>
      <c r="G331" s="134" t="s">
        <v>218</v>
      </c>
      <c r="H331" s="134" t="s">
        <v>387</v>
      </c>
      <c r="I331" s="134" t="s">
        <v>230</v>
      </c>
      <c r="J331" s="134" t="s">
        <v>231</v>
      </c>
      <c r="K331" s="134" t="s">
        <v>424</v>
      </c>
      <c r="L331" s="135">
        <v>-2450000</v>
      </c>
      <c r="M331" s="211"/>
    </row>
    <row r="332" spans="1:15" ht="34.5" thickBot="1" x14ac:dyDescent="0.3">
      <c r="A332" s="132" t="s">
        <v>54</v>
      </c>
      <c r="B332" s="133" t="s">
        <v>55</v>
      </c>
      <c r="C332" s="134" t="s">
        <v>106</v>
      </c>
      <c r="D332" s="134" t="s">
        <v>107</v>
      </c>
      <c r="E332" s="134" t="s">
        <v>56</v>
      </c>
      <c r="F332" s="134" t="s">
        <v>385</v>
      </c>
      <c r="G332" s="134" t="s">
        <v>218</v>
      </c>
      <c r="H332" s="134" t="s">
        <v>387</v>
      </c>
      <c r="I332" s="134" t="s">
        <v>230</v>
      </c>
      <c r="J332" s="134" t="s">
        <v>231</v>
      </c>
      <c r="K332" s="134" t="s">
        <v>423</v>
      </c>
      <c r="L332" s="136">
        <v>-4900000</v>
      </c>
      <c r="M332" s="211"/>
    </row>
    <row r="333" spans="1:15" ht="34.5" thickBot="1" x14ac:dyDescent="0.3">
      <c r="A333" s="132" t="s">
        <v>54</v>
      </c>
      <c r="B333" s="133" t="s">
        <v>55</v>
      </c>
      <c r="C333" s="134" t="s">
        <v>106</v>
      </c>
      <c r="D333" s="134" t="s">
        <v>107</v>
      </c>
      <c r="E333" s="134" t="s">
        <v>56</v>
      </c>
      <c r="F333" s="134" t="s">
        <v>385</v>
      </c>
      <c r="G333" s="134" t="s">
        <v>218</v>
      </c>
      <c r="H333" s="134" t="s">
        <v>387</v>
      </c>
      <c r="I333" s="134" t="s">
        <v>230</v>
      </c>
      <c r="J333" s="134" t="s">
        <v>231</v>
      </c>
      <c r="K333" s="134" t="s">
        <v>422</v>
      </c>
      <c r="L333" s="135">
        <v>-2450000</v>
      </c>
      <c r="M333" s="2">
        <f>+L331+L332+L333</f>
        <v>-9800000</v>
      </c>
    </row>
    <row r="334" spans="1:15" ht="23.25" thickBot="1" x14ac:dyDescent="0.3">
      <c r="A334" s="132" t="s">
        <v>54</v>
      </c>
      <c r="B334" s="133" t="s">
        <v>55</v>
      </c>
      <c r="C334" s="134" t="s">
        <v>106</v>
      </c>
      <c r="D334" s="134" t="s">
        <v>107</v>
      </c>
      <c r="E334" s="134" t="s">
        <v>56</v>
      </c>
      <c r="F334" s="134" t="s">
        <v>385</v>
      </c>
      <c r="G334" s="134" t="s">
        <v>218</v>
      </c>
      <c r="H334" s="134" t="s">
        <v>387</v>
      </c>
      <c r="I334" s="134" t="s">
        <v>230</v>
      </c>
      <c r="J334" s="134" t="s">
        <v>231</v>
      </c>
      <c r="K334" s="134" t="s">
        <v>409</v>
      </c>
      <c r="L334" s="136">
        <v>-9300000</v>
      </c>
      <c r="M334" s="211"/>
    </row>
    <row r="335" spans="1:15" ht="34.5" thickBot="1" x14ac:dyDescent="0.3">
      <c r="A335" s="132" t="s">
        <v>54</v>
      </c>
      <c r="B335" s="133" t="s">
        <v>55</v>
      </c>
      <c r="C335" s="134" t="s">
        <v>106</v>
      </c>
      <c r="D335" s="134" t="s">
        <v>107</v>
      </c>
      <c r="E335" s="134" t="s">
        <v>56</v>
      </c>
      <c r="F335" s="134" t="s">
        <v>385</v>
      </c>
      <c r="G335" s="134" t="s">
        <v>218</v>
      </c>
      <c r="H335" s="134" t="s">
        <v>387</v>
      </c>
      <c r="I335" s="134" t="s">
        <v>230</v>
      </c>
      <c r="J335" s="134" t="s">
        <v>231</v>
      </c>
      <c r="K335" s="134" t="s">
        <v>408</v>
      </c>
      <c r="L335" s="135">
        <v>-3100000</v>
      </c>
      <c r="M335" s="2">
        <f>+L334+L335</f>
        <v>-12400000</v>
      </c>
      <c r="N335" s="217" t="s">
        <v>654</v>
      </c>
      <c r="O335">
        <f>12.4-7.2</f>
        <v>5.2</v>
      </c>
    </row>
    <row r="336" spans="1:15" ht="23.25" thickBot="1" x14ac:dyDescent="0.3">
      <c r="A336" s="132" t="s">
        <v>54</v>
      </c>
      <c r="B336" s="133" t="s">
        <v>55</v>
      </c>
      <c r="C336" s="134" t="s">
        <v>106</v>
      </c>
      <c r="D336" s="134" t="s">
        <v>107</v>
      </c>
      <c r="E336" s="134" t="s">
        <v>56</v>
      </c>
      <c r="F336" s="134" t="s">
        <v>385</v>
      </c>
      <c r="G336" s="352" t="s">
        <v>64</v>
      </c>
      <c r="H336" s="354"/>
      <c r="I336" s="354"/>
      <c r="J336" s="354"/>
      <c r="K336" s="353"/>
      <c r="L336" s="137">
        <v>-22200000</v>
      </c>
      <c r="M336" s="211"/>
    </row>
    <row r="337" spans="1:13" ht="34.5" thickBot="1" x14ac:dyDescent="0.3">
      <c r="A337" s="132" t="s">
        <v>65</v>
      </c>
      <c r="B337" s="133" t="s">
        <v>26</v>
      </c>
      <c r="C337" s="134" t="s">
        <v>116</v>
      </c>
      <c r="D337" s="134" t="s">
        <v>26</v>
      </c>
      <c r="E337" s="134" t="s">
        <v>56</v>
      </c>
      <c r="F337" s="134" t="s">
        <v>385</v>
      </c>
      <c r="G337" s="134" t="s">
        <v>218</v>
      </c>
      <c r="H337" s="134" t="s">
        <v>387</v>
      </c>
      <c r="I337" s="134" t="s">
        <v>421</v>
      </c>
      <c r="J337" s="134" t="s">
        <v>420</v>
      </c>
      <c r="K337" s="134" t="s">
        <v>390</v>
      </c>
      <c r="L337" s="136">
        <v>-172000</v>
      </c>
      <c r="M337" s="211"/>
    </row>
    <row r="338" spans="1:13" ht="23.25" thickBot="1" x14ac:dyDescent="0.3">
      <c r="A338" s="132" t="s">
        <v>65</v>
      </c>
      <c r="B338" s="133" t="s">
        <v>26</v>
      </c>
      <c r="C338" s="134" t="s">
        <v>116</v>
      </c>
      <c r="D338" s="134" t="s">
        <v>26</v>
      </c>
      <c r="E338" s="134" t="s">
        <v>56</v>
      </c>
      <c r="F338" s="134" t="s">
        <v>385</v>
      </c>
      <c r="G338" s="352" t="s">
        <v>64</v>
      </c>
      <c r="H338" s="354"/>
      <c r="I338" s="354"/>
      <c r="J338" s="354"/>
      <c r="K338" s="353"/>
      <c r="L338" s="137">
        <v>-172000</v>
      </c>
      <c r="M338" s="211"/>
    </row>
    <row r="339" spans="1:13" ht="23.25" thickBot="1" x14ac:dyDescent="0.3">
      <c r="A339" s="132" t="s">
        <v>66</v>
      </c>
      <c r="B339" s="133" t="s">
        <v>67</v>
      </c>
      <c r="C339" s="134" t="s">
        <v>121</v>
      </c>
      <c r="D339" s="134" t="s">
        <v>122</v>
      </c>
      <c r="E339" s="134" t="s">
        <v>56</v>
      </c>
      <c r="F339" s="134" t="s">
        <v>385</v>
      </c>
      <c r="G339" s="134" t="s">
        <v>218</v>
      </c>
      <c r="H339" s="134" t="s">
        <v>387</v>
      </c>
      <c r="I339" s="134" t="s">
        <v>419</v>
      </c>
      <c r="J339" s="134" t="s">
        <v>418</v>
      </c>
      <c r="K339" s="134" t="s">
        <v>409</v>
      </c>
      <c r="L339" s="135">
        <v>-1125000</v>
      </c>
      <c r="M339" s="211"/>
    </row>
    <row r="340" spans="1:13" ht="34.5" thickBot="1" x14ac:dyDescent="0.3">
      <c r="A340" s="132" t="s">
        <v>66</v>
      </c>
      <c r="B340" s="133" t="s">
        <v>67</v>
      </c>
      <c r="C340" s="134" t="s">
        <v>121</v>
      </c>
      <c r="D340" s="134" t="s">
        <v>122</v>
      </c>
      <c r="E340" s="134" t="s">
        <v>56</v>
      </c>
      <c r="F340" s="134" t="s">
        <v>385</v>
      </c>
      <c r="G340" s="134" t="s">
        <v>218</v>
      </c>
      <c r="H340" s="134" t="s">
        <v>387</v>
      </c>
      <c r="I340" s="134" t="s">
        <v>419</v>
      </c>
      <c r="J340" s="134" t="s">
        <v>418</v>
      </c>
      <c r="K340" s="134" t="s">
        <v>408</v>
      </c>
      <c r="L340" s="136">
        <v>-375000</v>
      </c>
      <c r="M340" s="211"/>
    </row>
    <row r="341" spans="1:13" ht="34.5" thickBot="1" x14ac:dyDescent="0.3">
      <c r="A341" s="132" t="s">
        <v>66</v>
      </c>
      <c r="B341" s="133" t="s">
        <v>67</v>
      </c>
      <c r="C341" s="134" t="s">
        <v>121</v>
      </c>
      <c r="D341" s="134" t="s">
        <v>122</v>
      </c>
      <c r="E341" s="134" t="s">
        <v>56</v>
      </c>
      <c r="F341" s="134" t="s">
        <v>385</v>
      </c>
      <c r="G341" s="134" t="s">
        <v>218</v>
      </c>
      <c r="H341" s="134" t="s">
        <v>387</v>
      </c>
      <c r="I341" s="134" t="s">
        <v>417</v>
      </c>
      <c r="J341" s="134" t="s">
        <v>416</v>
      </c>
      <c r="K341" s="134" t="s">
        <v>390</v>
      </c>
      <c r="L341" s="135">
        <v>-4796950</v>
      </c>
      <c r="M341" s="211"/>
    </row>
    <row r="342" spans="1:13" ht="23.25" thickBot="1" x14ac:dyDescent="0.3">
      <c r="A342" s="132" t="s">
        <v>66</v>
      </c>
      <c r="B342" s="133" t="s">
        <v>67</v>
      </c>
      <c r="C342" s="134" t="s">
        <v>121</v>
      </c>
      <c r="D342" s="134" t="s">
        <v>122</v>
      </c>
      <c r="E342" s="134" t="s">
        <v>56</v>
      </c>
      <c r="F342" s="134" t="s">
        <v>385</v>
      </c>
      <c r="G342" s="352" t="s">
        <v>64</v>
      </c>
      <c r="H342" s="354"/>
      <c r="I342" s="354"/>
      <c r="J342" s="354"/>
      <c r="K342" s="353"/>
      <c r="L342" s="137">
        <v>-6296950</v>
      </c>
      <c r="M342" s="211"/>
    </row>
    <row r="343" spans="1:13" ht="15.75" thickBot="1" x14ac:dyDescent="0.3">
      <c r="A343" s="132" t="s">
        <v>66</v>
      </c>
      <c r="B343" s="133" t="s">
        <v>67</v>
      </c>
      <c r="C343" s="352" t="s">
        <v>64</v>
      </c>
      <c r="D343" s="354"/>
      <c r="E343" s="354"/>
      <c r="F343" s="354"/>
      <c r="G343" s="354"/>
      <c r="H343" s="354"/>
      <c r="I343" s="354"/>
      <c r="J343" s="354"/>
      <c r="K343" s="353"/>
      <c r="L343" s="137">
        <v>-6296950</v>
      </c>
      <c r="M343" s="211"/>
    </row>
    <row r="344" spans="1:13" ht="34.5" thickBot="1" x14ac:dyDescent="0.3">
      <c r="A344" s="132" t="s">
        <v>72</v>
      </c>
      <c r="B344" s="133" t="s">
        <v>73</v>
      </c>
      <c r="C344" s="134" t="s">
        <v>123</v>
      </c>
      <c r="D344" s="134" t="s">
        <v>25</v>
      </c>
      <c r="E344" s="134" t="s">
        <v>56</v>
      </c>
      <c r="F344" s="134" t="s">
        <v>385</v>
      </c>
      <c r="G344" s="134" t="s">
        <v>218</v>
      </c>
      <c r="H344" s="134" t="s">
        <v>387</v>
      </c>
      <c r="I344" s="134" t="s">
        <v>415</v>
      </c>
      <c r="J344" s="134" t="s">
        <v>414</v>
      </c>
      <c r="K344" s="134" t="s">
        <v>390</v>
      </c>
      <c r="L344" s="136">
        <v>-1602412.49</v>
      </c>
      <c r="M344" s="211"/>
    </row>
    <row r="345" spans="1:13" ht="34.5" thickBot="1" x14ac:dyDescent="0.3">
      <c r="A345" s="132" t="s">
        <v>72</v>
      </c>
      <c r="B345" s="133" t="s">
        <v>73</v>
      </c>
      <c r="C345" s="134" t="s">
        <v>123</v>
      </c>
      <c r="D345" s="134" t="s">
        <v>25</v>
      </c>
      <c r="E345" s="134" t="s">
        <v>56</v>
      </c>
      <c r="F345" s="134" t="s">
        <v>385</v>
      </c>
      <c r="G345" s="134" t="s">
        <v>218</v>
      </c>
      <c r="H345" s="134" t="s">
        <v>387</v>
      </c>
      <c r="I345" s="134" t="s">
        <v>413</v>
      </c>
      <c r="J345" s="134" t="s">
        <v>412</v>
      </c>
      <c r="K345" s="134" t="s">
        <v>390</v>
      </c>
      <c r="L345" s="135">
        <v>-1684587.51</v>
      </c>
      <c r="M345" s="211"/>
    </row>
    <row r="346" spans="1:13" ht="23.25" thickBot="1" x14ac:dyDescent="0.3">
      <c r="A346" s="132" t="s">
        <v>72</v>
      </c>
      <c r="B346" s="133" t="s">
        <v>73</v>
      </c>
      <c r="C346" s="134" t="s">
        <v>123</v>
      </c>
      <c r="D346" s="134" t="s">
        <v>25</v>
      </c>
      <c r="E346" s="134" t="s">
        <v>56</v>
      </c>
      <c r="F346" s="134" t="s">
        <v>385</v>
      </c>
      <c r="G346" s="352" t="s">
        <v>64</v>
      </c>
      <c r="H346" s="354"/>
      <c r="I346" s="354"/>
      <c r="J346" s="354"/>
      <c r="K346" s="353"/>
      <c r="L346" s="137">
        <v>-3287000</v>
      </c>
      <c r="M346" s="211"/>
    </row>
    <row r="347" spans="1:13" ht="45.75" thickBot="1" x14ac:dyDescent="0.3">
      <c r="A347" s="132" t="s">
        <v>76</v>
      </c>
      <c r="B347" s="133" t="s">
        <v>77</v>
      </c>
      <c r="C347" s="134" t="s">
        <v>131</v>
      </c>
      <c r="D347" s="134" t="s">
        <v>132</v>
      </c>
      <c r="E347" s="134" t="s">
        <v>56</v>
      </c>
      <c r="F347" s="134" t="s">
        <v>385</v>
      </c>
      <c r="G347" s="134" t="s">
        <v>218</v>
      </c>
      <c r="H347" s="134" t="s">
        <v>387</v>
      </c>
      <c r="I347" s="134" t="s">
        <v>411</v>
      </c>
      <c r="J347" s="134" t="s">
        <v>410</v>
      </c>
      <c r="K347" s="134" t="s">
        <v>390</v>
      </c>
      <c r="L347" s="136">
        <v>-3292000</v>
      </c>
      <c r="M347" s="211"/>
    </row>
    <row r="348" spans="1:13" ht="23.25" thickBot="1" x14ac:dyDescent="0.3">
      <c r="A348" s="132" t="s">
        <v>76</v>
      </c>
      <c r="B348" s="133" t="s">
        <v>77</v>
      </c>
      <c r="C348" s="134" t="s">
        <v>131</v>
      </c>
      <c r="D348" s="134" t="s">
        <v>132</v>
      </c>
      <c r="E348" s="134" t="s">
        <v>56</v>
      </c>
      <c r="F348" s="134" t="s">
        <v>385</v>
      </c>
      <c r="G348" s="352" t="s">
        <v>64</v>
      </c>
      <c r="H348" s="354"/>
      <c r="I348" s="354"/>
      <c r="J348" s="354"/>
      <c r="K348" s="353"/>
      <c r="L348" s="137">
        <v>-3292000</v>
      </c>
      <c r="M348" s="211"/>
    </row>
    <row r="349" spans="1:13" ht="45.75" thickBot="1" x14ac:dyDescent="0.3">
      <c r="A349" s="132" t="s">
        <v>80</v>
      </c>
      <c r="B349" s="133" t="s">
        <v>24</v>
      </c>
      <c r="C349" s="134" t="s">
        <v>139</v>
      </c>
      <c r="D349" s="134" t="s">
        <v>24</v>
      </c>
      <c r="E349" s="134" t="s">
        <v>56</v>
      </c>
      <c r="F349" s="134" t="s">
        <v>385</v>
      </c>
      <c r="G349" s="134" t="s">
        <v>218</v>
      </c>
      <c r="H349" s="134" t="s">
        <v>387</v>
      </c>
      <c r="I349" s="134" t="s">
        <v>402</v>
      </c>
      <c r="J349" s="134" t="s">
        <v>401</v>
      </c>
      <c r="K349" s="134" t="s">
        <v>399</v>
      </c>
      <c r="L349" s="135">
        <v>0</v>
      </c>
      <c r="M349" s="211"/>
    </row>
    <row r="350" spans="1:13" ht="45.75" thickBot="1" x14ac:dyDescent="0.3">
      <c r="A350" s="132" t="s">
        <v>80</v>
      </c>
      <c r="B350" s="133" t="s">
        <v>24</v>
      </c>
      <c r="C350" s="134" t="s">
        <v>139</v>
      </c>
      <c r="D350" s="134" t="s">
        <v>24</v>
      </c>
      <c r="E350" s="134" t="s">
        <v>56</v>
      </c>
      <c r="F350" s="134" t="s">
        <v>385</v>
      </c>
      <c r="G350" s="134" t="s">
        <v>218</v>
      </c>
      <c r="H350" s="134" t="s">
        <v>387</v>
      </c>
      <c r="I350" s="134" t="s">
        <v>402</v>
      </c>
      <c r="J350" s="134" t="s">
        <v>401</v>
      </c>
      <c r="K350" s="134" t="s">
        <v>398</v>
      </c>
      <c r="L350" s="136">
        <v>-907000</v>
      </c>
      <c r="M350" s="211"/>
    </row>
    <row r="351" spans="1:13" ht="34.5" thickBot="1" x14ac:dyDescent="0.3">
      <c r="A351" s="132" t="s">
        <v>80</v>
      </c>
      <c r="B351" s="133" t="s">
        <v>24</v>
      </c>
      <c r="C351" s="134" t="s">
        <v>139</v>
      </c>
      <c r="D351" s="134" t="s">
        <v>24</v>
      </c>
      <c r="E351" s="134" t="s">
        <v>56</v>
      </c>
      <c r="F351" s="134" t="s">
        <v>385</v>
      </c>
      <c r="G351" s="134" t="s">
        <v>218</v>
      </c>
      <c r="H351" s="134" t="s">
        <v>387</v>
      </c>
      <c r="I351" s="134" t="s">
        <v>392</v>
      </c>
      <c r="J351" s="134" t="s">
        <v>391</v>
      </c>
      <c r="K351" s="134" t="s">
        <v>390</v>
      </c>
      <c r="L351" s="135">
        <v>-4796950</v>
      </c>
      <c r="M351" s="211"/>
    </row>
    <row r="352" spans="1:13" ht="45.75" thickBot="1" x14ac:dyDescent="0.3">
      <c r="A352" s="132" t="s">
        <v>80</v>
      </c>
      <c r="B352" s="133" t="s">
        <v>24</v>
      </c>
      <c r="C352" s="134" t="s">
        <v>139</v>
      </c>
      <c r="D352" s="134" t="s">
        <v>24</v>
      </c>
      <c r="E352" s="134" t="s">
        <v>56</v>
      </c>
      <c r="F352" s="134" t="s">
        <v>385</v>
      </c>
      <c r="G352" s="134" t="s">
        <v>218</v>
      </c>
      <c r="H352" s="134" t="s">
        <v>387</v>
      </c>
      <c r="I352" s="134" t="s">
        <v>230</v>
      </c>
      <c r="J352" s="134" t="s">
        <v>231</v>
      </c>
      <c r="K352" s="134" t="s">
        <v>400</v>
      </c>
      <c r="L352" s="136">
        <v>-907000</v>
      </c>
      <c r="M352" s="211"/>
    </row>
    <row r="353" spans="1:14" ht="45.75" thickBot="1" x14ac:dyDescent="0.3">
      <c r="A353" s="132" t="s">
        <v>80</v>
      </c>
      <c r="B353" s="133" t="s">
        <v>24</v>
      </c>
      <c r="C353" s="134" t="s">
        <v>139</v>
      </c>
      <c r="D353" s="134" t="s">
        <v>24</v>
      </c>
      <c r="E353" s="134" t="s">
        <v>56</v>
      </c>
      <c r="F353" s="134" t="s">
        <v>385</v>
      </c>
      <c r="G353" s="134" t="s">
        <v>218</v>
      </c>
      <c r="H353" s="134" t="s">
        <v>387</v>
      </c>
      <c r="I353" s="134" t="s">
        <v>230</v>
      </c>
      <c r="J353" s="134" t="s">
        <v>231</v>
      </c>
      <c r="K353" s="134" t="s">
        <v>389</v>
      </c>
      <c r="L353" s="135">
        <v>-21150000</v>
      </c>
      <c r="M353" s="211"/>
    </row>
    <row r="354" spans="1:14" ht="45.75" thickBot="1" x14ac:dyDescent="0.3">
      <c r="A354" s="132" t="s">
        <v>80</v>
      </c>
      <c r="B354" s="133" t="s">
        <v>24</v>
      </c>
      <c r="C354" s="134" t="s">
        <v>139</v>
      </c>
      <c r="D354" s="134" t="s">
        <v>24</v>
      </c>
      <c r="E354" s="134" t="s">
        <v>56</v>
      </c>
      <c r="F354" s="134" t="s">
        <v>385</v>
      </c>
      <c r="G354" s="134" t="s">
        <v>218</v>
      </c>
      <c r="H354" s="134" t="s">
        <v>387</v>
      </c>
      <c r="I354" s="134" t="s">
        <v>230</v>
      </c>
      <c r="J354" s="134" t="s">
        <v>231</v>
      </c>
      <c r="K354" s="134" t="s">
        <v>399</v>
      </c>
      <c r="L354" s="136">
        <v>0</v>
      </c>
      <c r="M354" s="211"/>
    </row>
    <row r="355" spans="1:14" ht="45.75" thickBot="1" x14ac:dyDescent="0.3">
      <c r="A355" s="132" t="s">
        <v>80</v>
      </c>
      <c r="B355" s="133" t="s">
        <v>24</v>
      </c>
      <c r="C355" s="134" t="s">
        <v>139</v>
      </c>
      <c r="D355" s="134" t="s">
        <v>24</v>
      </c>
      <c r="E355" s="134" t="s">
        <v>56</v>
      </c>
      <c r="F355" s="134" t="s">
        <v>385</v>
      </c>
      <c r="G355" s="134" t="s">
        <v>218</v>
      </c>
      <c r="H355" s="134" t="s">
        <v>387</v>
      </c>
      <c r="I355" s="134" t="s">
        <v>230</v>
      </c>
      <c r="J355" s="134" t="s">
        <v>231</v>
      </c>
      <c r="K355" s="134" t="s">
        <v>398</v>
      </c>
      <c r="L355" s="135">
        <v>907000</v>
      </c>
      <c r="M355" s="211"/>
    </row>
    <row r="356" spans="1:14" ht="23.25" thickBot="1" x14ac:dyDescent="0.3">
      <c r="A356" s="132" t="s">
        <v>80</v>
      </c>
      <c r="B356" s="133" t="s">
        <v>24</v>
      </c>
      <c r="C356" s="134" t="s">
        <v>139</v>
      </c>
      <c r="D356" s="134" t="s">
        <v>24</v>
      </c>
      <c r="E356" s="134" t="s">
        <v>56</v>
      </c>
      <c r="F356" s="134" t="s">
        <v>385</v>
      </c>
      <c r="G356" s="134" t="s">
        <v>218</v>
      </c>
      <c r="H356" s="134" t="s">
        <v>387</v>
      </c>
      <c r="I356" s="134" t="s">
        <v>230</v>
      </c>
      <c r="J356" s="134" t="s">
        <v>231</v>
      </c>
      <c r="K356" s="134" t="s">
        <v>409</v>
      </c>
      <c r="L356" s="136">
        <v>-33750000</v>
      </c>
      <c r="M356" s="211"/>
    </row>
    <row r="357" spans="1:14" ht="34.5" thickBot="1" x14ac:dyDescent="0.3">
      <c r="A357" s="132" t="s">
        <v>80</v>
      </c>
      <c r="B357" s="133" t="s">
        <v>24</v>
      </c>
      <c r="C357" s="134" t="s">
        <v>139</v>
      </c>
      <c r="D357" s="134" t="s">
        <v>24</v>
      </c>
      <c r="E357" s="134" t="s">
        <v>56</v>
      </c>
      <c r="F357" s="134" t="s">
        <v>385</v>
      </c>
      <c r="G357" s="134" t="s">
        <v>218</v>
      </c>
      <c r="H357" s="134" t="s">
        <v>387</v>
      </c>
      <c r="I357" s="134" t="s">
        <v>230</v>
      </c>
      <c r="J357" s="134" t="s">
        <v>231</v>
      </c>
      <c r="K357" s="134" t="s">
        <v>386</v>
      </c>
      <c r="L357" s="135">
        <v>-7050000</v>
      </c>
      <c r="M357" s="211"/>
    </row>
    <row r="358" spans="1:14" ht="34.5" thickBot="1" x14ac:dyDescent="0.3">
      <c r="A358" s="132" t="s">
        <v>80</v>
      </c>
      <c r="B358" s="133" t="s">
        <v>24</v>
      </c>
      <c r="C358" s="134" t="s">
        <v>139</v>
      </c>
      <c r="D358" s="134" t="s">
        <v>24</v>
      </c>
      <c r="E358" s="134" t="s">
        <v>56</v>
      </c>
      <c r="F358" s="134" t="s">
        <v>385</v>
      </c>
      <c r="G358" s="134" t="s">
        <v>218</v>
      </c>
      <c r="H358" s="134" t="s">
        <v>387</v>
      </c>
      <c r="I358" s="134" t="s">
        <v>230</v>
      </c>
      <c r="J358" s="134" t="s">
        <v>231</v>
      </c>
      <c r="K358" s="134" t="s">
        <v>408</v>
      </c>
      <c r="L358" s="136">
        <v>-11336315.539999999</v>
      </c>
      <c r="M358" s="211"/>
    </row>
    <row r="359" spans="1:14" ht="23.25" thickBot="1" x14ac:dyDescent="0.3">
      <c r="A359" s="132" t="s">
        <v>80</v>
      </c>
      <c r="B359" s="133" t="s">
        <v>24</v>
      </c>
      <c r="C359" s="134" t="s">
        <v>139</v>
      </c>
      <c r="D359" s="134" t="s">
        <v>24</v>
      </c>
      <c r="E359" s="134" t="s">
        <v>56</v>
      </c>
      <c r="F359" s="134" t="s">
        <v>385</v>
      </c>
      <c r="G359" s="352" t="s">
        <v>64</v>
      </c>
      <c r="H359" s="354"/>
      <c r="I359" s="354"/>
      <c r="J359" s="354"/>
      <c r="K359" s="353"/>
      <c r="L359" s="137">
        <v>-78990265.540000007</v>
      </c>
      <c r="M359" s="211"/>
    </row>
    <row r="360" spans="1:14" ht="23.25" thickBot="1" x14ac:dyDescent="0.3">
      <c r="A360" s="215" t="s">
        <v>407</v>
      </c>
      <c r="B360" s="214" t="s">
        <v>406</v>
      </c>
      <c r="C360" s="134" t="s">
        <v>139</v>
      </c>
      <c r="D360" s="134" t="s">
        <v>24</v>
      </c>
      <c r="E360" s="134" t="s">
        <v>56</v>
      </c>
      <c r="F360" s="134" t="s">
        <v>385</v>
      </c>
      <c r="G360" s="134" t="s">
        <v>218</v>
      </c>
      <c r="H360" s="134" t="s">
        <v>387</v>
      </c>
      <c r="I360" s="134" t="s">
        <v>230</v>
      </c>
      <c r="J360" s="134" t="s">
        <v>231</v>
      </c>
      <c r="K360" s="134" t="s">
        <v>409</v>
      </c>
      <c r="L360" s="135">
        <v>-33750000</v>
      </c>
      <c r="M360" s="211"/>
    </row>
    <row r="361" spans="1:14" ht="34.5" thickBot="1" x14ac:dyDescent="0.3">
      <c r="A361" s="215" t="s">
        <v>407</v>
      </c>
      <c r="B361" s="214" t="s">
        <v>406</v>
      </c>
      <c r="C361" s="134" t="s">
        <v>139</v>
      </c>
      <c r="D361" s="134" t="s">
        <v>24</v>
      </c>
      <c r="E361" s="134" t="s">
        <v>56</v>
      </c>
      <c r="F361" s="134" t="s">
        <v>385</v>
      </c>
      <c r="G361" s="134" t="s">
        <v>218</v>
      </c>
      <c r="H361" s="134" t="s">
        <v>387</v>
      </c>
      <c r="I361" s="134" t="s">
        <v>230</v>
      </c>
      <c r="J361" s="134" t="s">
        <v>231</v>
      </c>
      <c r="K361" s="134" t="s">
        <v>408</v>
      </c>
      <c r="L361" s="136">
        <v>-11336315.539999999</v>
      </c>
      <c r="M361" s="211"/>
    </row>
    <row r="362" spans="1:14" ht="23.25" thickBot="1" x14ac:dyDescent="0.3">
      <c r="A362" s="215" t="s">
        <v>407</v>
      </c>
      <c r="B362" s="214" t="s">
        <v>406</v>
      </c>
      <c r="C362" s="134" t="s">
        <v>139</v>
      </c>
      <c r="D362" s="134" t="s">
        <v>24</v>
      </c>
      <c r="E362" s="134" t="s">
        <v>56</v>
      </c>
      <c r="F362" s="134" t="s">
        <v>385</v>
      </c>
      <c r="G362" s="352" t="s">
        <v>64</v>
      </c>
      <c r="H362" s="354"/>
      <c r="I362" s="354"/>
      <c r="J362" s="354"/>
      <c r="K362" s="353"/>
      <c r="L362" s="137">
        <v>-45086315.539999999</v>
      </c>
      <c r="M362" s="211"/>
    </row>
    <row r="363" spans="1:14" ht="45.75" thickBot="1" x14ac:dyDescent="0.3">
      <c r="A363" s="215" t="s">
        <v>404</v>
      </c>
      <c r="B363" s="214" t="s">
        <v>403</v>
      </c>
      <c r="C363" s="134" t="s">
        <v>139</v>
      </c>
      <c r="D363" s="134" t="s">
        <v>24</v>
      </c>
      <c r="E363" s="134" t="s">
        <v>56</v>
      </c>
      <c r="F363" s="134" t="s">
        <v>385</v>
      </c>
      <c r="G363" s="134" t="s">
        <v>218</v>
      </c>
      <c r="H363" s="134" t="s">
        <v>387</v>
      </c>
      <c r="I363" s="134" t="s">
        <v>230</v>
      </c>
      <c r="J363" s="134" t="s">
        <v>231</v>
      </c>
      <c r="K363" s="134" t="s">
        <v>389</v>
      </c>
      <c r="L363" s="135">
        <v>-6300000</v>
      </c>
      <c r="M363" s="211"/>
    </row>
    <row r="364" spans="1:14" ht="34.5" thickBot="1" x14ac:dyDescent="0.3">
      <c r="A364" s="215" t="s">
        <v>404</v>
      </c>
      <c r="B364" s="214" t="s">
        <v>403</v>
      </c>
      <c r="C364" s="134" t="s">
        <v>139</v>
      </c>
      <c r="D364" s="134" t="s">
        <v>24</v>
      </c>
      <c r="E364" s="134" t="s">
        <v>56</v>
      </c>
      <c r="F364" s="134" t="s">
        <v>385</v>
      </c>
      <c r="G364" s="134" t="s">
        <v>218</v>
      </c>
      <c r="H364" s="134" t="s">
        <v>387</v>
      </c>
      <c r="I364" s="134" t="s">
        <v>230</v>
      </c>
      <c r="J364" s="134" t="s">
        <v>231</v>
      </c>
      <c r="K364" s="134" t="s">
        <v>386</v>
      </c>
      <c r="L364" s="136">
        <v>-2100000</v>
      </c>
      <c r="M364" s="211"/>
      <c r="N364" s="217" t="s">
        <v>426</v>
      </c>
    </row>
    <row r="365" spans="1:14" ht="23.25" thickBot="1" x14ac:dyDescent="0.3">
      <c r="A365" s="215" t="s">
        <v>404</v>
      </c>
      <c r="B365" s="214" t="s">
        <v>403</v>
      </c>
      <c r="C365" s="134" t="s">
        <v>139</v>
      </c>
      <c r="D365" s="134" t="s">
        <v>24</v>
      </c>
      <c r="E365" s="134" t="s">
        <v>56</v>
      </c>
      <c r="F365" s="134" t="s">
        <v>385</v>
      </c>
      <c r="G365" s="352" t="s">
        <v>64</v>
      </c>
      <c r="H365" s="354"/>
      <c r="I365" s="354"/>
      <c r="J365" s="354"/>
      <c r="K365" s="353"/>
      <c r="L365" s="137">
        <v>-8400000</v>
      </c>
      <c r="M365" s="216" t="s">
        <v>405</v>
      </c>
      <c r="N365" s="142">
        <v>-4000000</v>
      </c>
    </row>
    <row r="366" spans="1:14" ht="45.75" thickBot="1" x14ac:dyDescent="0.3">
      <c r="A366" s="215" t="s">
        <v>397</v>
      </c>
      <c r="B366" s="214" t="s">
        <v>396</v>
      </c>
      <c r="C366" s="134" t="s">
        <v>139</v>
      </c>
      <c r="D366" s="134" t="s">
        <v>24</v>
      </c>
      <c r="E366" s="134" t="s">
        <v>56</v>
      </c>
      <c r="F366" s="134" t="s">
        <v>385</v>
      </c>
      <c r="G366" s="134" t="s">
        <v>218</v>
      </c>
      <c r="H366" s="134" t="s">
        <v>387</v>
      </c>
      <c r="I366" s="134" t="s">
        <v>402</v>
      </c>
      <c r="J366" s="134" t="s">
        <v>401</v>
      </c>
      <c r="K366" s="134" t="s">
        <v>399</v>
      </c>
      <c r="L366" s="135">
        <v>0</v>
      </c>
      <c r="M366" s="211"/>
    </row>
    <row r="367" spans="1:14" ht="45.75" thickBot="1" x14ac:dyDescent="0.3">
      <c r="A367" s="215" t="s">
        <v>397</v>
      </c>
      <c r="B367" s="214" t="s">
        <v>396</v>
      </c>
      <c r="C367" s="134" t="s">
        <v>139</v>
      </c>
      <c r="D367" s="134" t="s">
        <v>24</v>
      </c>
      <c r="E367" s="134" t="s">
        <v>56</v>
      </c>
      <c r="F367" s="134" t="s">
        <v>385</v>
      </c>
      <c r="G367" s="134" t="s">
        <v>218</v>
      </c>
      <c r="H367" s="134" t="s">
        <v>387</v>
      </c>
      <c r="I367" s="134" t="s">
        <v>402</v>
      </c>
      <c r="J367" s="134" t="s">
        <v>401</v>
      </c>
      <c r="K367" s="134" t="s">
        <v>398</v>
      </c>
      <c r="L367" s="136">
        <v>-907000</v>
      </c>
      <c r="M367" s="211"/>
      <c r="N367" s="1"/>
    </row>
    <row r="368" spans="1:14" ht="45.75" thickBot="1" x14ac:dyDescent="0.3">
      <c r="A368" s="215" t="s">
        <v>397</v>
      </c>
      <c r="B368" s="214" t="s">
        <v>396</v>
      </c>
      <c r="C368" s="134" t="s">
        <v>139</v>
      </c>
      <c r="D368" s="134" t="s">
        <v>24</v>
      </c>
      <c r="E368" s="134" t="s">
        <v>56</v>
      </c>
      <c r="F368" s="134" t="s">
        <v>385</v>
      </c>
      <c r="G368" s="134" t="s">
        <v>218</v>
      </c>
      <c r="H368" s="134" t="s">
        <v>387</v>
      </c>
      <c r="I368" s="134" t="s">
        <v>230</v>
      </c>
      <c r="J368" s="134" t="s">
        <v>231</v>
      </c>
      <c r="K368" s="134" t="s">
        <v>400</v>
      </c>
      <c r="L368" s="135">
        <v>-907000</v>
      </c>
      <c r="M368" s="211"/>
    </row>
    <row r="369" spans="1:14" ht="45.75" thickBot="1" x14ac:dyDescent="0.3">
      <c r="A369" s="215" t="s">
        <v>397</v>
      </c>
      <c r="B369" s="214" t="s">
        <v>396</v>
      </c>
      <c r="C369" s="134" t="s">
        <v>139</v>
      </c>
      <c r="D369" s="134" t="s">
        <v>24</v>
      </c>
      <c r="E369" s="134" t="s">
        <v>56</v>
      </c>
      <c r="F369" s="134" t="s">
        <v>385</v>
      </c>
      <c r="G369" s="134" t="s">
        <v>218</v>
      </c>
      <c r="H369" s="134" t="s">
        <v>387</v>
      </c>
      <c r="I369" s="134" t="s">
        <v>230</v>
      </c>
      <c r="J369" s="134" t="s">
        <v>231</v>
      </c>
      <c r="K369" s="134" t="s">
        <v>399</v>
      </c>
      <c r="L369" s="136">
        <v>0</v>
      </c>
      <c r="M369" s="211"/>
    </row>
    <row r="370" spans="1:14" ht="45.75" thickBot="1" x14ac:dyDescent="0.3">
      <c r="A370" s="215" t="s">
        <v>397</v>
      </c>
      <c r="B370" s="214" t="s">
        <v>396</v>
      </c>
      <c r="C370" s="134" t="s">
        <v>139</v>
      </c>
      <c r="D370" s="134" t="s">
        <v>24</v>
      </c>
      <c r="E370" s="134" t="s">
        <v>56</v>
      </c>
      <c r="F370" s="134" t="s">
        <v>385</v>
      </c>
      <c r="G370" s="134" t="s">
        <v>218</v>
      </c>
      <c r="H370" s="134" t="s">
        <v>387</v>
      </c>
      <c r="I370" s="134" t="s">
        <v>230</v>
      </c>
      <c r="J370" s="134" t="s">
        <v>231</v>
      </c>
      <c r="K370" s="134" t="s">
        <v>398</v>
      </c>
      <c r="L370" s="135">
        <v>907000</v>
      </c>
      <c r="M370" s="211"/>
    </row>
    <row r="371" spans="1:14" ht="23.25" thickBot="1" x14ac:dyDescent="0.3">
      <c r="A371" s="215" t="s">
        <v>397</v>
      </c>
      <c r="B371" s="214" t="s">
        <v>396</v>
      </c>
      <c r="C371" s="134" t="s">
        <v>139</v>
      </c>
      <c r="D371" s="134" t="s">
        <v>24</v>
      </c>
      <c r="E371" s="134" t="s">
        <v>56</v>
      </c>
      <c r="F371" s="134" t="s">
        <v>385</v>
      </c>
      <c r="G371" s="352" t="s">
        <v>64</v>
      </c>
      <c r="H371" s="354"/>
      <c r="I371" s="354"/>
      <c r="J371" s="354"/>
      <c r="K371" s="353"/>
      <c r="L371" s="137">
        <v>-907000</v>
      </c>
      <c r="M371" s="211"/>
    </row>
    <row r="372" spans="1:14" ht="45.75" thickBot="1" x14ac:dyDescent="0.3">
      <c r="A372" s="215" t="s">
        <v>394</v>
      </c>
      <c r="B372" s="214" t="s">
        <v>393</v>
      </c>
      <c r="C372" s="134" t="s">
        <v>139</v>
      </c>
      <c r="D372" s="134" t="s">
        <v>24</v>
      </c>
      <c r="E372" s="134" t="s">
        <v>56</v>
      </c>
      <c r="F372" s="134" t="s">
        <v>385</v>
      </c>
      <c r="G372" s="134" t="s">
        <v>218</v>
      </c>
      <c r="H372" s="134" t="s">
        <v>387</v>
      </c>
      <c r="I372" s="134" t="s">
        <v>230</v>
      </c>
      <c r="J372" s="134" t="s">
        <v>231</v>
      </c>
      <c r="K372" s="134" t="s">
        <v>389</v>
      </c>
      <c r="L372" s="136">
        <v>-10125000</v>
      </c>
      <c r="M372" s="211"/>
    </row>
    <row r="373" spans="1:14" ht="34.5" thickBot="1" x14ac:dyDescent="0.3">
      <c r="A373" s="215" t="s">
        <v>394</v>
      </c>
      <c r="B373" s="214" t="s">
        <v>393</v>
      </c>
      <c r="C373" s="134" t="s">
        <v>139</v>
      </c>
      <c r="D373" s="134" t="s">
        <v>24</v>
      </c>
      <c r="E373" s="134" t="s">
        <v>56</v>
      </c>
      <c r="F373" s="134" t="s">
        <v>385</v>
      </c>
      <c r="G373" s="134" t="s">
        <v>218</v>
      </c>
      <c r="H373" s="134" t="s">
        <v>387</v>
      </c>
      <c r="I373" s="134" t="s">
        <v>230</v>
      </c>
      <c r="J373" s="134" t="s">
        <v>231</v>
      </c>
      <c r="K373" s="134" t="s">
        <v>386</v>
      </c>
      <c r="L373" s="135">
        <v>-3375000</v>
      </c>
      <c r="M373" s="211"/>
    </row>
    <row r="374" spans="1:14" ht="23.25" thickBot="1" x14ac:dyDescent="0.3">
      <c r="A374" s="215" t="s">
        <v>394</v>
      </c>
      <c r="B374" s="214" t="s">
        <v>393</v>
      </c>
      <c r="C374" s="134" t="s">
        <v>139</v>
      </c>
      <c r="D374" s="134" t="s">
        <v>24</v>
      </c>
      <c r="E374" s="134" t="s">
        <v>56</v>
      </c>
      <c r="F374" s="134" t="s">
        <v>385</v>
      </c>
      <c r="G374" s="352" t="s">
        <v>64</v>
      </c>
      <c r="H374" s="354"/>
      <c r="I374" s="354"/>
      <c r="J374" s="354"/>
      <c r="K374" s="353"/>
      <c r="L374" s="137">
        <v>-13500000</v>
      </c>
      <c r="M374" s="216" t="s">
        <v>395</v>
      </c>
    </row>
    <row r="375" spans="1:14" ht="34.5" thickBot="1" x14ac:dyDescent="0.3">
      <c r="A375" s="215" t="s">
        <v>384</v>
      </c>
      <c r="B375" s="214" t="s">
        <v>383</v>
      </c>
      <c r="C375" s="134" t="s">
        <v>139</v>
      </c>
      <c r="D375" s="134" t="s">
        <v>24</v>
      </c>
      <c r="E375" s="134" t="s">
        <v>56</v>
      </c>
      <c r="F375" s="134" t="s">
        <v>385</v>
      </c>
      <c r="G375" s="134" t="s">
        <v>218</v>
      </c>
      <c r="H375" s="134" t="s">
        <v>387</v>
      </c>
      <c r="I375" s="134" t="s">
        <v>392</v>
      </c>
      <c r="J375" s="134" t="s">
        <v>391</v>
      </c>
      <c r="K375" s="134" t="s">
        <v>390</v>
      </c>
      <c r="L375" s="136">
        <v>-4796950</v>
      </c>
      <c r="M375" s="211"/>
    </row>
    <row r="376" spans="1:14" ht="45.75" thickBot="1" x14ac:dyDescent="0.3">
      <c r="A376" s="215" t="s">
        <v>384</v>
      </c>
      <c r="B376" s="214" t="s">
        <v>383</v>
      </c>
      <c r="C376" s="134" t="s">
        <v>139</v>
      </c>
      <c r="D376" s="134" t="s">
        <v>24</v>
      </c>
      <c r="E376" s="134" t="s">
        <v>56</v>
      </c>
      <c r="F376" s="134" t="s">
        <v>385</v>
      </c>
      <c r="G376" s="134" t="s">
        <v>218</v>
      </c>
      <c r="H376" s="134" t="s">
        <v>387</v>
      </c>
      <c r="I376" s="134" t="s">
        <v>230</v>
      </c>
      <c r="J376" s="134" t="s">
        <v>231</v>
      </c>
      <c r="K376" s="134" t="s">
        <v>389</v>
      </c>
      <c r="L376" s="135">
        <v>-4725000</v>
      </c>
      <c r="M376" s="361" t="s">
        <v>388</v>
      </c>
    </row>
    <row r="377" spans="1:14" ht="34.5" thickBot="1" x14ac:dyDescent="0.3">
      <c r="A377" s="215" t="s">
        <v>384</v>
      </c>
      <c r="B377" s="214" t="s">
        <v>383</v>
      </c>
      <c r="C377" s="134" t="s">
        <v>139</v>
      </c>
      <c r="D377" s="134" t="s">
        <v>24</v>
      </c>
      <c r="E377" s="134" t="s">
        <v>56</v>
      </c>
      <c r="F377" s="134" t="s">
        <v>385</v>
      </c>
      <c r="G377" s="134" t="s">
        <v>218</v>
      </c>
      <c r="H377" s="134" t="s">
        <v>387</v>
      </c>
      <c r="I377" s="134" t="s">
        <v>230</v>
      </c>
      <c r="J377" s="134" t="s">
        <v>231</v>
      </c>
      <c r="K377" s="134" t="s">
        <v>386</v>
      </c>
      <c r="L377" s="136">
        <v>-1575000</v>
      </c>
      <c r="M377" s="361"/>
    </row>
    <row r="378" spans="1:14" ht="23.25" thickBot="1" x14ac:dyDescent="0.3">
      <c r="A378" s="215" t="s">
        <v>384</v>
      </c>
      <c r="B378" s="214" t="s">
        <v>383</v>
      </c>
      <c r="C378" s="134" t="s">
        <v>139</v>
      </c>
      <c r="D378" s="134" t="s">
        <v>24</v>
      </c>
      <c r="E378" s="134" t="s">
        <v>56</v>
      </c>
      <c r="F378" s="134" t="s">
        <v>385</v>
      </c>
      <c r="G378" s="352" t="s">
        <v>64</v>
      </c>
      <c r="H378" s="354"/>
      <c r="I378" s="354"/>
      <c r="J378" s="354"/>
      <c r="K378" s="353"/>
      <c r="L378" s="137">
        <v>-11096950</v>
      </c>
      <c r="M378" s="211"/>
      <c r="N378" s="2"/>
    </row>
    <row r="379" spans="1:14" s="211" customFormat="1" x14ac:dyDescent="0.25"/>
    <row r="380" spans="1:14" ht="15.75" thickBot="1" x14ac:dyDescent="0.3">
      <c r="A380" s="80" t="s">
        <v>443</v>
      </c>
    </row>
    <row r="381" spans="1:14" ht="15.75" thickBot="1" x14ac:dyDescent="0.3">
      <c r="A381" s="347"/>
      <c r="B381" s="348"/>
      <c r="C381" s="348"/>
      <c r="D381" s="348"/>
      <c r="E381" s="348"/>
      <c r="F381" s="348"/>
      <c r="G381" s="348"/>
      <c r="H381" s="348"/>
      <c r="I381" s="348"/>
      <c r="J381" s="349"/>
      <c r="K381" s="140"/>
      <c r="L381" s="134" t="s">
        <v>95</v>
      </c>
    </row>
    <row r="382" spans="1:14" ht="23.25" thickBot="1" x14ac:dyDescent="0.3">
      <c r="A382" s="350" t="s">
        <v>94</v>
      </c>
      <c r="B382" s="351"/>
      <c r="C382" s="134" t="s">
        <v>440</v>
      </c>
      <c r="D382" s="350" t="s">
        <v>105</v>
      </c>
      <c r="E382" s="351"/>
      <c r="F382" s="350" t="s">
        <v>228</v>
      </c>
      <c r="G382" s="351"/>
      <c r="H382" s="350" t="s">
        <v>101</v>
      </c>
      <c r="I382" s="351"/>
      <c r="J382" s="134" t="s">
        <v>229</v>
      </c>
      <c r="K382" s="134" t="s">
        <v>439</v>
      </c>
      <c r="L382" s="140" t="s">
        <v>91</v>
      </c>
    </row>
    <row r="383" spans="1:14" ht="34.5" thickBot="1" x14ac:dyDescent="0.3">
      <c r="A383" s="215" t="s">
        <v>438</v>
      </c>
      <c r="B383" s="214" t="s">
        <v>437</v>
      </c>
      <c r="C383" s="134" t="s">
        <v>436</v>
      </c>
      <c r="D383" s="134" t="s">
        <v>139</v>
      </c>
      <c r="E383" s="134" t="s">
        <v>24</v>
      </c>
      <c r="F383" s="134" t="s">
        <v>230</v>
      </c>
      <c r="G383" s="134" t="s">
        <v>231</v>
      </c>
      <c r="H383" s="134" t="s">
        <v>187</v>
      </c>
      <c r="I383" s="134" t="s">
        <v>433</v>
      </c>
      <c r="J383" s="134" t="s">
        <v>432</v>
      </c>
      <c r="K383" s="134" t="s">
        <v>431</v>
      </c>
      <c r="L383" s="136">
        <v>-5345937</v>
      </c>
    </row>
    <row r="384" spans="1:14" ht="23.25" thickBot="1" x14ac:dyDescent="0.3">
      <c r="A384" s="215" t="s">
        <v>438</v>
      </c>
      <c r="B384" s="214" t="s">
        <v>437</v>
      </c>
      <c r="C384" s="134" t="s">
        <v>436</v>
      </c>
      <c r="D384" s="134" t="s">
        <v>139</v>
      </c>
      <c r="E384" s="134" t="s">
        <v>24</v>
      </c>
      <c r="F384" s="134" t="s">
        <v>230</v>
      </c>
      <c r="G384" s="134" t="s">
        <v>231</v>
      </c>
      <c r="H384" s="352" t="s">
        <v>64</v>
      </c>
      <c r="I384" s="354"/>
      <c r="J384" s="354"/>
      <c r="K384" s="353"/>
      <c r="L384" s="137">
        <v>-5345937</v>
      </c>
    </row>
    <row r="385" spans="1:14" ht="34.5" thickBot="1" x14ac:dyDescent="0.3">
      <c r="A385" s="215" t="s">
        <v>428</v>
      </c>
      <c r="B385" s="214" t="s">
        <v>427</v>
      </c>
      <c r="C385" s="134" t="s">
        <v>161</v>
      </c>
      <c r="D385" s="134" t="s">
        <v>139</v>
      </c>
      <c r="E385" s="134" t="s">
        <v>24</v>
      </c>
      <c r="F385" s="134" t="s">
        <v>435</v>
      </c>
      <c r="G385" s="134" t="s">
        <v>434</v>
      </c>
      <c r="H385" s="134" t="s">
        <v>187</v>
      </c>
      <c r="I385" s="134" t="s">
        <v>433</v>
      </c>
      <c r="J385" s="134" t="s">
        <v>432</v>
      </c>
      <c r="K385" s="134" t="s">
        <v>431</v>
      </c>
      <c r="L385" s="135">
        <v>3345937</v>
      </c>
    </row>
    <row r="386" spans="1:14" ht="23.25" thickBot="1" x14ac:dyDescent="0.3">
      <c r="A386" s="215" t="s">
        <v>428</v>
      </c>
      <c r="B386" s="214" t="s">
        <v>427</v>
      </c>
      <c r="C386" s="134" t="s">
        <v>161</v>
      </c>
      <c r="D386" s="134" t="s">
        <v>139</v>
      </c>
      <c r="E386" s="134" t="s">
        <v>24</v>
      </c>
      <c r="F386" s="134" t="s">
        <v>435</v>
      </c>
      <c r="G386" s="134" t="s">
        <v>434</v>
      </c>
      <c r="H386" s="352" t="s">
        <v>64</v>
      </c>
      <c r="I386" s="354"/>
      <c r="J386" s="354"/>
      <c r="K386" s="353"/>
      <c r="L386" s="137">
        <v>3345937</v>
      </c>
    </row>
    <row r="387" spans="1:14" ht="34.5" thickBot="1" x14ac:dyDescent="0.3">
      <c r="A387" s="215" t="s">
        <v>428</v>
      </c>
      <c r="B387" s="214" t="s">
        <v>427</v>
      </c>
      <c r="C387" s="134" t="s">
        <v>161</v>
      </c>
      <c r="D387" s="134" t="s">
        <v>139</v>
      </c>
      <c r="E387" s="134" t="s">
        <v>24</v>
      </c>
      <c r="F387" s="134" t="s">
        <v>430</v>
      </c>
      <c r="G387" s="134" t="s">
        <v>429</v>
      </c>
      <c r="H387" s="134" t="s">
        <v>187</v>
      </c>
      <c r="I387" s="134" t="s">
        <v>433</v>
      </c>
      <c r="J387" s="134" t="s">
        <v>432</v>
      </c>
      <c r="K387" s="134" t="s">
        <v>431</v>
      </c>
      <c r="L387" s="135">
        <v>2000000</v>
      </c>
    </row>
    <row r="388" spans="1:14" ht="23.25" thickBot="1" x14ac:dyDescent="0.3">
      <c r="A388" s="215" t="s">
        <v>428</v>
      </c>
      <c r="B388" s="214" t="s">
        <v>427</v>
      </c>
      <c r="C388" s="134" t="s">
        <v>161</v>
      </c>
      <c r="D388" s="134" t="s">
        <v>139</v>
      </c>
      <c r="E388" s="134" t="s">
        <v>24</v>
      </c>
      <c r="F388" s="134" t="s">
        <v>430</v>
      </c>
      <c r="G388" s="134" t="s">
        <v>429</v>
      </c>
      <c r="H388" s="352" t="s">
        <v>64</v>
      </c>
      <c r="I388" s="354"/>
      <c r="J388" s="354"/>
      <c r="K388" s="353"/>
      <c r="L388" s="137">
        <v>2000000</v>
      </c>
    </row>
    <row r="389" spans="1:14" ht="23.25" thickBot="1" x14ac:dyDescent="0.3">
      <c r="A389" s="215" t="s">
        <v>428</v>
      </c>
      <c r="B389" s="214" t="s">
        <v>427</v>
      </c>
      <c r="C389" s="134" t="s">
        <v>161</v>
      </c>
      <c r="D389" s="352" t="s">
        <v>64</v>
      </c>
      <c r="E389" s="354"/>
      <c r="F389" s="354"/>
      <c r="G389" s="354"/>
      <c r="H389" s="354"/>
      <c r="I389" s="354"/>
      <c r="J389" s="354"/>
      <c r="K389" s="353"/>
      <c r="L389" s="137">
        <f>+L384+L386+L388</f>
        <v>0</v>
      </c>
    </row>
    <row r="391" spans="1:14" ht="15.75" thickBot="1" x14ac:dyDescent="0.3">
      <c r="A391" s="80" t="s">
        <v>442</v>
      </c>
    </row>
    <row r="392" spans="1:14" ht="15.75" thickBot="1" x14ac:dyDescent="0.3">
      <c r="A392" s="347"/>
      <c r="B392" s="348"/>
      <c r="C392" s="348"/>
      <c r="D392" s="348"/>
      <c r="E392" s="349"/>
      <c r="F392" s="140"/>
      <c r="G392" s="134" t="s">
        <v>95</v>
      </c>
    </row>
    <row r="393" spans="1:14" ht="15.75" thickBot="1" x14ac:dyDescent="0.3">
      <c r="A393" s="350" t="s">
        <v>94</v>
      </c>
      <c r="B393" s="351"/>
      <c r="C393" s="350" t="s">
        <v>93</v>
      </c>
      <c r="D393" s="351"/>
      <c r="E393" s="134" t="s">
        <v>440</v>
      </c>
      <c r="F393" s="134" t="s">
        <v>229</v>
      </c>
      <c r="G393" s="140" t="s">
        <v>91</v>
      </c>
    </row>
    <row r="394" spans="1:14" ht="45.75" thickBot="1" x14ac:dyDescent="0.3">
      <c r="A394" s="132" t="s">
        <v>80</v>
      </c>
      <c r="B394" s="133" t="s">
        <v>24</v>
      </c>
      <c r="C394" s="134" t="s">
        <v>56</v>
      </c>
      <c r="D394" s="134" t="s">
        <v>385</v>
      </c>
      <c r="E394" s="134" t="s">
        <v>161</v>
      </c>
      <c r="F394" s="134" t="s">
        <v>441</v>
      </c>
      <c r="G394" s="136">
        <v>-2402969</v>
      </c>
    </row>
    <row r="395" spans="1:14" ht="15.75" thickBot="1" x14ac:dyDescent="0.3">
      <c r="A395" s="132" t="s">
        <v>80</v>
      </c>
      <c r="B395" s="133" t="s">
        <v>24</v>
      </c>
      <c r="C395" s="134" t="s">
        <v>56</v>
      </c>
      <c r="D395" s="134" t="s">
        <v>385</v>
      </c>
      <c r="E395" s="134" t="s">
        <v>161</v>
      </c>
      <c r="F395" s="143" t="s">
        <v>64</v>
      </c>
      <c r="G395" s="137">
        <v>-2402969</v>
      </c>
      <c r="H395" s="2"/>
    </row>
    <row r="396" spans="1:14" s="211" customFormat="1" x14ac:dyDescent="0.25">
      <c r="N396" s="2"/>
    </row>
    <row r="397" spans="1:14" ht="15.75" thickBot="1" x14ac:dyDescent="0.3">
      <c r="A397" s="80" t="s">
        <v>446</v>
      </c>
    </row>
    <row r="398" spans="1:14" ht="15.75" thickBot="1" x14ac:dyDescent="0.3">
      <c r="A398" s="347"/>
      <c r="B398" s="348"/>
      <c r="C398" s="348"/>
      <c r="D398" s="348"/>
      <c r="E398" s="348"/>
      <c r="F398" s="348"/>
      <c r="G398" s="348"/>
      <c r="H398" s="349"/>
      <c r="I398" s="140"/>
      <c r="J398" s="134" t="s">
        <v>95</v>
      </c>
      <c r="K398" s="211"/>
    </row>
    <row r="399" spans="1:14" ht="23.25" thickBot="1" x14ac:dyDescent="0.3">
      <c r="A399" s="350" t="s">
        <v>94</v>
      </c>
      <c r="B399" s="351"/>
      <c r="C399" s="134" t="s">
        <v>440</v>
      </c>
      <c r="D399" s="350" t="s">
        <v>92</v>
      </c>
      <c r="E399" s="351"/>
      <c r="F399" s="350" t="s">
        <v>228</v>
      </c>
      <c r="G399" s="351"/>
      <c r="H399" s="134" t="s">
        <v>93</v>
      </c>
      <c r="I399" s="141"/>
      <c r="J399" s="140" t="s">
        <v>91</v>
      </c>
      <c r="K399" s="211"/>
      <c r="L399" s="2">
        <f>+J406</f>
        <v>-3620645.32</v>
      </c>
      <c r="M399" s="2">
        <f>+G395</f>
        <v>-2402969</v>
      </c>
      <c r="N399" s="2">
        <f>-L385</f>
        <v>-3345937</v>
      </c>
    </row>
    <row r="400" spans="1:14" ht="23.25" thickBot="1" x14ac:dyDescent="0.3">
      <c r="A400" s="139" t="s">
        <v>90</v>
      </c>
      <c r="B400" s="139" t="s">
        <v>89</v>
      </c>
      <c r="C400" s="134" t="s">
        <v>161</v>
      </c>
      <c r="D400" s="134" t="s">
        <v>454</v>
      </c>
      <c r="E400" s="134" t="s">
        <v>455</v>
      </c>
      <c r="F400" s="134" t="s">
        <v>447</v>
      </c>
      <c r="G400" s="134" t="s">
        <v>448</v>
      </c>
      <c r="H400" s="134" t="s">
        <v>56</v>
      </c>
      <c r="I400" s="134" t="s">
        <v>385</v>
      </c>
      <c r="J400" s="136">
        <v>93902.13</v>
      </c>
      <c r="K400" s="211"/>
      <c r="L400" s="2">
        <f>+L375</f>
        <v>-4796950</v>
      </c>
      <c r="M400" s="233">
        <f>+L371</f>
        <v>-907000</v>
      </c>
      <c r="N400" s="232">
        <f>+L377+L376+L374+L365-N365</f>
        <v>-24200000</v>
      </c>
    </row>
    <row r="401" spans="1:11" ht="23.25" thickBot="1" x14ac:dyDescent="0.3">
      <c r="A401" s="139" t="s">
        <v>90</v>
      </c>
      <c r="B401" s="139" t="s">
        <v>89</v>
      </c>
      <c r="C401" s="134" t="s">
        <v>161</v>
      </c>
      <c r="D401" s="134" t="s">
        <v>454</v>
      </c>
      <c r="E401" s="134" t="s">
        <v>455</v>
      </c>
      <c r="F401" s="134" t="s">
        <v>449</v>
      </c>
      <c r="G401" s="134" t="s">
        <v>446</v>
      </c>
      <c r="H401" s="134" t="s">
        <v>56</v>
      </c>
      <c r="I401" s="134" t="s">
        <v>385</v>
      </c>
      <c r="J401" s="135">
        <v>-6698.17</v>
      </c>
      <c r="K401" s="211"/>
    </row>
    <row r="402" spans="1:11" ht="23.25" thickBot="1" x14ac:dyDescent="0.3">
      <c r="A402" s="139" t="s">
        <v>90</v>
      </c>
      <c r="B402" s="139" t="s">
        <v>89</v>
      </c>
      <c r="C402" s="134" t="s">
        <v>161</v>
      </c>
      <c r="D402" s="134" t="s">
        <v>454</v>
      </c>
      <c r="E402" s="134" t="s">
        <v>455</v>
      </c>
      <c r="F402" s="134" t="s">
        <v>445</v>
      </c>
      <c r="G402" s="134" t="s">
        <v>444</v>
      </c>
      <c r="H402" s="134" t="s">
        <v>56</v>
      </c>
      <c r="I402" s="134" t="s">
        <v>385</v>
      </c>
      <c r="J402" s="136">
        <v>-359001.77</v>
      </c>
      <c r="K402" s="211"/>
    </row>
    <row r="403" spans="1:11" ht="34.5" thickBot="1" x14ac:dyDescent="0.3">
      <c r="A403" s="139" t="s">
        <v>90</v>
      </c>
      <c r="B403" s="139" t="s">
        <v>89</v>
      </c>
      <c r="C403" s="134" t="s">
        <v>161</v>
      </c>
      <c r="D403" s="134" t="s">
        <v>454</v>
      </c>
      <c r="E403" s="134" t="s">
        <v>455</v>
      </c>
      <c r="F403" s="134" t="s">
        <v>450</v>
      </c>
      <c r="G403" s="134" t="s">
        <v>451</v>
      </c>
      <c r="H403" s="134" t="s">
        <v>56</v>
      </c>
      <c r="I403" s="134" t="s">
        <v>385</v>
      </c>
      <c r="J403" s="135">
        <v>510198.67</v>
      </c>
    </row>
    <row r="404" spans="1:11" ht="34.5" thickBot="1" x14ac:dyDescent="0.3">
      <c r="A404" s="139" t="s">
        <v>90</v>
      </c>
      <c r="B404" s="139" t="s">
        <v>89</v>
      </c>
      <c r="C404" s="134" t="s">
        <v>161</v>
      </c>
      <c r="D404" s="134" t="s">
        <v>454</v>
      </c>
      <c r="E404" s="134" t="s">
        <v>455</v>
      </c>
      <c r="F404" s="134" t="s">
        <v>452</v>
      </c>
      <c r="G404" s="134" t="s">
        <v>453</v>
      </c>
      <c r="H404" s="134" t="s">
        <v>56</v>
      </c>
      <c r="I404" s="134" t="s">
        <v>385</v>
      </c>
      <c r="J404" s="136">
        <v>-184439.18</v>
      </c>
    </row>
    <row r="405" spans="1:11" ht="23.25" thickBot="1" x14ac:dyDescent="0.3">
      <c r="A405" s="139" t="s">
        <v>90</v>
      </c>
      <c r="B405" s="139" t="s">
        <v>89</v>
      </c>
      <c r="C405" s="134" t="s">
        <v>161</v>
      </c>
      <c r="D405" s="134" t="s">
        <v>456</v>
      </c>
      <c r="E405" s="134" t="s">
        <v>457</v>
      </c>
      <c r="F405" s="134" t="s">
        <v>445</v>
      </c>
      <c r="G405" s="134" t="s">
        <v>444</v>
      </c>
      <c r="H405" s="134" t="s">
        <v>56</v>
      </c>
      <c r="I405" s="134" t="s">
        <v>385</v>
      </c>
      <c r="J405" s="135">
        <v>-3674607</v>
      </c>
    </row>
    <row r="406" spans="1:11" ht="23.25" thickBot="1" x14ac:dyDescent="0.3">
      <c r="A406" s="139" t="s">
        <v>90</v>
      </c>
      <c r="B406" s="139" t="s">
        <v>89</v>
      </c>
      <c r="C406" s="134" t="s">
        <v>161</v>
      </c>
      <c r="D406" s="352" t="s">
        <v>64</v>
      </c>
      <c r="E406" s="354"/>
      <c r="F406" s="354"/>
      <c r="G406" s="354"/>
      <c r="H406" s="354"/>
      <c r="I406" s="353"/>
      <c r="J406" s="137">
        <v>-3620645.32</v>
      </c>
      <c r="K406" s="2">
        <f>+G395-L386+L377+L376+L375+L374+L371+L365-N365+J406</f>
        <v>-39273501.32</v>
      </c>
    </row>
    <row r="409" spans="1:11" ht="15.75" thickBot="1" x14ac:dyDescent="0.3">
      <c r="A409" s="80" t="s">
        <v>459</v>
      </c>
    </row>
    <row r="410" spans="1:11" ht="15.75" thickBot="1" x14ac:dyDescent="0.3">
      <c r="A410" s="347"/>
      <c r="B410" s="348"/>
      <c r="C410" s="348"/>
      <c r="D410" s="348"/>
      <c r="E410" s="348"/>
      <c r="F410" s="348"/>
      <c r="G410" s="348"/>
      <c r="H410" s="349"/>
      <c r="I410" s="140"/>
      <c r="J410" s="134" t="s">
        <v>95</v>
      </c>
    </row>
    <row r="411" spans="1:11" ht="23.25" thickBot="1" x14ac:dyDescent="0.3">
      <c r="A411" s="350" t="s">
        <v>94</v>
      </c>
      <c r="B411" s="351"/>
      <c r="C411" s="134" t="s">
        <v>382</v>
      </c>
      <c r="D411" s="350" t="s">
        <v>105</v>
      </c>
      <c r="E411" s="351"/>
      <c r="F411" s="350" t="s">
        <v>92</v>
      </c>
      <c r="G411" s="351"/>
      <c r="H411" s="134" t="s">
        <v>209</v>
      </c>
      <c r="I411" s="141"/>
      <c r="J411" s="140" t="s">
        <v>91</v>
      </c>
    </row>
    <row r="412" spans="1:11" ht="34.5" thickBot="1" x14ac:dyDescent="0.3">
      <c r="A412" s="139" t="s">
        <v>90</v>
      </c>
      <c r="B412" s="139" t="s">
        <v>89</v>
      </c>
      <c r="C412" s="134" t="s">
        <v>217</v>
      </c>
      <c r="D412" s="134" t="s">
        <v>121</v>
      </c>
      <c r="E412" s="134" t="s">
        <v>122</v>
      </c>
      <c r="F412" s="134" t="s">
        <v>459</v>
      </c>
      <c r="G412" s="134" t="s">
        <v>458</v>
      </c>
      <c r="H412" s="134" t="s">
        <v>469</v>
      </c>
      <c r="I412" s="134" t="s">
        <v>468</v>
      </c>
      <c r="J412" s="136">
        <v>11592839</v>
      </c>
    </row>
    <row r="413" spans="1:11" ht="23.25" thickBot="1" x14ac:dyDescent="0.3">
      <c r="A413" s="139" t="s">
        <v>90</v>
      </c>
      <c r="B413" s="139" t="s">
        <v>89</v>
      </c>
      <c r="C413" s="134" t="s">
        <v>217</v>
      </c>
      <c r="D413" s="134" t="s">
        <v>121</v>
      </c>
      <c r="E413" s="134" t="s">
        <v>122</v>
      </c>
      <c r="F413" s="134" t="s">
        <v>459</v>
      </c>
      <c r="G413" s="134" t="s">
        <v>458</v>
      </c>
      <c r="H413" s="352" t="s">
        <v>64</v>
      </c>
      <c r="I413" s="353"/>
      <c r="J413" s="137">
        <v>11592839</v>
      </c>
    </row>
    <row r="414" spans="1:11" ht="34.5" thickBot="1" x14ac:dyDescent="0.3">
      <c r="A414" s="139" t="s">
        <v>90</v>
      </c>
      <c r="B414" s="139" t="s">
        <v>89</v>
      </c>
      <c r="C414" s="134" t="s">
        <v>217</v>
      </c>
      <c r="D414" s="134" t="s">
        <v>131</v>
      </c>
      <c r="E414" s="134" t="s">
        <v>132</v>
      </c>
      <c r="F414" s="134" t="s">
        <v>459</v>
      </c>
      <c r="G414" s="134" t="s">
        <v>458</v>
      </c>
      <c r="H414" s="134" t="s">
        <v>473</v>
      </c>
      <c r="I414" s="134" t="s">
        <v>472</v>
      </c>
      <c r="J414" s="136">
        <v>31923.41</v>
      </c>
    </row>
    <row r="415" spans="1:11" ht="23.25" thickBot="1" x14ac:dyDescent="0.3">
      <c r="A415" s="139" t="s">
        <v>90</v>
      </c>
      <c r="B415" s="139" t="s">
        <v>89</v>
      </c>
      <c r="C415" s="134" t="s">
        <v>217</v>
      </c>
      <c r="D415" s="134" t="s">
        <v>131</v>
      </c>
      <c r="E415" s="134" t="s">
        <v>132</v>
      </c>
      <c r="F415" s="134" t="s">
        <v>459</v>
      </c>
      <c r="G415" s="134" t="s">
        <v>458</v>
      </c>
      <c r="H415" s="134" t="s">
        <v>471</v>
      </c>
      <c r="I415" s="134" t="s">
        <v>470</v>
      </c>
      <c r="J415" s="135">
        <v>77983.100000000006</v>
      </c>
    </row>
    <row r="416" spans="1:11" ht="23.25" thickBot="1" x14ac:dyDescent="0.3">
      <c r="A416" s="139" t="s">
        <v>90</v>
      </c>
      <c r="B416" s="139" t="s">
        <v>89</v>
      </c>
      <c r="C416" s="134" t="s">
        <v>217</v>
      </c>
      <c r="D416" s="134" t="s">
        <v>131</v>
      </c>
      <c r="E416" s="134" t="s">
        <v>132</v>
      </c>
      <c r="F416" s="134" t="s">
        <v>459</v>
      </c>
      <c r="G416" s="134" t="s">
        <v>458</v>
      </c>
      <c r="H416" s="352" t="s">
        <v>64</v>
      </c>
      <c r="I416" s="353"/>
      <c r="J416" s="137">
        <v>109906.51</v>
      </c>
    </row>
    <row r="417" spans="1:10" ht="34.5" thickBot="1" x14ac:dyDescent="0.3">
      <c r="A417" s="139" t="s">
        <v>90</v>
      </c>
      <c r="B417" s="139" t="s">
        <v>89</v>
      </c>
      <c r="C417" s="134" t="s">
        <v>217</v>
      </c>
      <c r="D417" s="134" t="s">
        <v>139</v>
      </c>
      <c r="E417" s="134" t="s">
        <v>24</v>
      </c>
      <c r="F417" s="134" t="s">
        <v>459</v>
      </c>
      <c r="G417" s="134" t="s">
        <v>458</v>
      </c>
      <c r="H417" s="134" t="s">
        <v>469</v>
      </c>
      <c r="I417" s="134" t="s">
        <v>468</v>
      </c>
      <c r="J417" s="135">
        <v>771720</v>
      </c>
    </row>
    <row r="418" spans="1:10" ht="34.5" thickBot="1" x14ac:dyDescent="0.3">
      <c r="A418" s="139" t="s">
        <v>90</v>
      </c>
      <c r="B418" s="139" t="s">
        <v>89</v>
      </c>
      <c r="C418" s="134" t="s">
        <v>217</v>
      </c>
      <c r="D418" s="134" t="s">
        <v>139</v>
      </c>
      <c r="E418" s="134" t="s">
        <v>24</v>
      </c>
      <c r="F418" s="134" t="s">
        <v>459</v>
      </c>
      <c r="G418" s="134" t="s">
        <v>458</v>
      </c>
      <c r="H418" s="134" t="s">
        <v>467</v>
      </c>
      <c r="I418" s="134" t="s">
        <v>466</v>
      </c>
      <c r="J418" s="136">
        <v>129696.07</v>
      </c>
    </row>
    <row r="419" spans="1:10" ht="15.75" thickBot="1" x14ac:dyDescent="0.3">
      <c r="A419" s="139" t="s">
        <v>90</v>
      </c>
      <c r="B419" s="139" t="s">
        <v>89</v>
      </c>
      <c r="C419" s="134" t="s">
        <v>217</v>
      </c>
      <c r="D419" s="134" t="s">
        <v>139</v>
      </c>
      <c r="E419" s="134" t="s">
        <v>24</v>
      </c>
      <c r="F419" s="134" t="s">
        <v>459</v>
      </c>
      <c r="G419" s="134" t="s">
        <v>458</v>
      </c>
      <c r="H419" s="134" t="s">
        <v>465</v>
      </c>
      <c r="I419" s="134" t="s">
        <v>464</v>
      </c>
      <c r="J419" s="135">
        <v>572397.6</v>
      </c>
    </row>
    <row r="420" spans="1:10" ht="45.75" thickBot="1" x14ac:dyDescent="0.3">
      <c r="A420" s="139" t="s">
        <v>90</v>
      </c>
      <c r="B420" s="139" t="s">
        <v>89</v>
      </c>
      <c r="C420" s="134" t="s">
        <v>217</v>
      </c>
      <c r="D420" s="134" t="s">
        <v>139</v>
      </c>
      <c r="E420" s="134" t="s">
        <v>24</v>
      </c>
      <c r="F420" s="134" t="s">
        <v>459</v>
      </c>
      <c r="G420" s="134" t="s">
        <v>458</v>
      </c>
      <c r="H420" s="134" t="s">
        <v>463</v>
      </c>
      <c r="I420" s="134" t="s">
        <v>462</v>
      </c>
      <c r="J420" s="136">
        <v>3273073.81</v>
      </c>
    </row>
    <row r="421" spans="1:10" ht="34.5" thickBot="1" x14ac:dyDescent="0.3">
      <c r="A421" s="139" t="s">
        <v>90</v>
      </c>
      <c r="B421" s="139" t="s">
        <v>89</v>
      </c>
      <c r="C421" s="134" t="s">
        <v>217</v>
      </c>
      <c r="D421" s="134" t="s">
        <v>139</v>
      </c>
      <c r="E421" s="134" t="s">
        <v>24</v>
      </c>
      <c r="F421" s="134" t="s">
        <v>459</v>
      </c>
      <c r="G421" s="134" t="s">
        <v>458</v>
      </c>
      <c r="H421" s="134" t="s">
        <v>461</v>
      </c>
      <c r="I421" s="134" t="s">
        <v>460</v>
      </c>
      <c r="J421" s="135">
        <v>11478</v>
      </c>
    </row>
    <row r="422" spans="1:10" s="236" customFormat="1" ht="15.75" thickBot="1" x14ac:dyDescent="0.3">
      <c r="A422" s="139" t="s">
        <v>90</v>
      </c>
      <c r="B422" s="139" t="s">
        <v>89</v>
      </c>
      <c r="C422" s="134" t="s">
        <v>217</v>
      </c>
      <c r="D422" s="134" t="s">
        <v>139</v>
      </c>
      <c r="E422" s="134" t="s">
        <v>24</v>
      </c>
      <c r="F422" s="134" t="s">
        <v>459</v>
      </c>
      <c r="G422" s="134" t="s">
        <v>458</v>
      </c>
      <c r="H422" s="134" t="s">
        <v>230</v>
      </c>
      <c r="I422" s="134" t="s">
        <v>230</v>
      </c>
      <c r="J422" s="135">
        <v>447764.64</v>
      </c>
    </row>
    <row r="423" spans="1:10" ht="15.75" thickBot="1" x14ac:dyDescent="0.3">
      <c r="A423" s="139" t="s">
        <v>90</v>
      </c>
      <c r="B423" s="139" t="s">
        <v>89</v>
      </c>
      <c r="C423" s="134" t="s">
        <v>217</v>
      </c>
      <c r="D423" s="134" t="s">
        <v>139</v>
      </c>
      <c r="E423" s="134" t="s">
        <v>24</v>
      </c>
      <c r="F423" s="134" t="s">
        <v>459</v>
      </c>
      <c r="G423" s="134" t="s">
        <v>458</v>
      </c>
      <c r="H423" s="352" t="s">
        <v>64</v>
      </c>
      <c r="I423" s="353"/>
      <c r="J423" s="137">
        <f>SUM(J417:J422)</f>
        <v>5206130.12</v>
      </c>
    </row>
    <row r="424" spans="1:10" ht="15.75" thickBot="1" x14ac:dyDescent="0.3">
      <c r="A424" s="139" t="s">
        <v>90</v>
      </c>
      <c r="B424" s="139" t="s">
        <v>89</v>
      </c>
      <c r="C424" s="134" t="s">
        <v>217</v>
      </c>
      <c r="D424" s="352" t="s">
        <v>64</v>
      </c>
      <c r="E424" s="354"/>
      <c r="F424" s="354"/>
      <c r="G424" s="354"/>
      <c r="H424" s="354"/>
      <c r="I424" s="353"/>
      <c r="J424" s="137">
        <f>+J413+J416+J423</f>
        <v>16908875.629999999</v>
      </c>
    </row>
    <row r="425" spans="1:10" ht="15.75" thickBot="1" x14ac:dyDescent="0.3">
      <c r="A425" s="139" t="s">
        <v>90</v>
      </c>
      <c r="B425" s="139" t="s">
        <v>89</v>
      </c>
      <c r="C425" s="352" t="s">
        <v>64</v>
      </c>
      <c r="D425" s="354"/>
      <c r="E425" s="354"/>
      <c r="F425" s="354"/>
      <c r="G425" s="354"/>
      <c r="H425" s="354"/>
      <c r="I425" s="353"/>
      <c r="J425" s="137">
        <f>+J414+J417+J424</f>
        <v>17712519.039999999</v>
      </c>
    </row>
    <row r="428" spans="1:10" ht="15.75" thickBot="1" x14ac:dyDescent="0.3">
      <c r="A428" s="80" t="s">
        <v>83</v>
      </c>
    </row>
    <row r="429" spans="1:10" ht="15.75" thickBot="1" x14ac:dyDescent="0.3">
      <c r="A429" s="347"/>
      <c r="B429" s="348"/>
      <c r="C429" s="349"/>
      <c r="D429" s="140"/>
      <c r="E429" s="134" t="s">
        <v>95</v>
      </c>
    </row>
    <row r="430" spans="1:10" ht="15.75" thickBot="1" x14ac:dyDescent="0.3">
      <c r="A430" s="350" t="s">
        <v>94</v>
      </c>
      <c r="B430" s="351"/>
      <c r="C430" s="134" t="s">
        <v>209</v>
      </c>
      <c r="D430" s="141"/>
      <c r="E430" s="140" t="s">
        <v>91</v>
      </c>
    </row>
    <row r="431" spans="1:10" ht="23.25" thickBot="1" x14ac:dyDescent="0.3">
      <c r="A431" s="139" t="s">
        <v>90</v>
      </c>
      <c r="B431" s="139" t="s">
        <v>89</v>
      </c>
      <c r="C431" s="134" t="s">
        <v>58</v>
      </c>
      <c r="D431" s="134" t="s">
        <v>59</v>
      </c>
      <c r="E431" s="136">
        <v>183848952.16</v>
      </c>
    </row>
    <row r="432" spans="1:10" ht="23.25" thickBot="1" x14ac:dyDescent="0.3">
      <c r="A432" s="139" t="s">
        <v>90</v>
      </c>
      <c r="B432" s="139" t="s">
        <v>89</v>
      </c>
      <c r="C432" s="134" t="s">
        <v>214</v>
      </c>
      <c r="D432" s="134" t="s">
        <v>215</v>
      </c>
      <c r="E432" s="135">
        <v>307616.8</v>
      </c>
    </row>
    <row r="433" spans="1:5" ht="15.75" thickBot="1" x14ac:dyDescent="0.3">
      <c r="A433" s="139" t="s">
        <v>90</v>
      </c>
      <c r="B433" s="139" t="s">
        <v>89</v>
      </c>
      <c r="C433" s="134" t="s">
        <v>479</v>
      </c>
      <c r="D433" s="134" t="s">
        <v>478</v>
      </c>
      <c r="E433" s="136">
        <v>9022.64</v>
      </c>
    </row>
    <row r="434" spans="1:5" ht="15.75" thickBot="1" x14ac:dyDescent="0.3">
      <c r="A434" s="139" t="s">
        <v>90</v>
      </c>
      <c r="B434" s="139" t="s">
        <v>89</v>
      </c>
      <c r="C434" s="134" t="s">
        <v>477</v>
      </c>
      <c r="D434" s="134" t="s">
        <v>476</v>
      </c>
      <c r="E434" s="135">
        <v>4928</v>
      </c>
    </row>
    <row r="435" spans="1:5" ht="23.25" thickBot="1" x14ac:dyDescent="0.3">
      <c r="A435" s="139" t="s">
        <v>90</v>
      </c>
      <c r="B435" s="139" t="s">
        <v>89</v>
      </c>
      <c r="C435" s="134" t="s">
        <v>475</v>
      </c>
      <c r="D435" s="134" t="s">
        <v>474</v>
      </c>
      <c r="E435" s="136">
        <v>367407.04</v>
      </c>
    </row>
    <row r="436" spans="1:5" ht="15.75" thickBot="1" x14ac:dyDescent="0.3">
      <c r="A436" s="139" t="s">
        <v>90</v>
      </c>
      <c r="B436" s="139" t="s">
        <v>89</v>
      </c>
      <c r="C436" s="352" t="s">
        <v>64</v>
      </c>
      <c r="D436" s="353"/>
      <c r="E436" s="137">
        <v>184537926.63999999</v>
      </c>
    </row>
    <row r="437" spans="1:5" ht="23.25" thickBot="1" x14ac:dyDescent="0.3">
      <c r="A437" s="132" t="s">
        <v>54</v>
      </c>
      <c r="B437" s="133" t="s">
        <v>55</v>
      </c>
      <c r="C437" s="134" t="s">
        <v>58</v>
      </c>
      <c r="D437" s="134" t="s">
        <v>59</v>
      </c>
      <c r="E437" s="136">
        <v>18869872.32</v>
      </c>
    </row>
    <row r="438" spans="1:5" ht="23.25" thickBot="1" x14ac:dyDescent="0.3">
      <c r="A438" s="132" t="s">
        <v>54</v>
      </c>
      <c r="B438" s="133" t="s">
        <v>55</v>
      </c>
      <c r="C438" s="134" t="s">
        <v>214</v>
      </c>
      <c r="D438" s="134" t="s">
        <v>215</v>
      </c>
      <c r="E438" s="135">
        <v>22953.8</v>
      </c>
    </row>
    <row r="439" spans="1:5" ht="23.25" thickBot="1" x14ac:dyDescent="0.3">
      <c r="A439" s="132" t="s">
        <v>54</v>
      </c>
      <c r="B439" s="133" t="s">
        <v>55</v>
      </c>
      <c r="C439" s="134" t="s">
        <v>475</v>
      </c>
      <c r="D439" s="134" t="s">
        <v>474</v>
      </c>
      <c r="E439" s="136">
        <v>16949.599999999999</v>
      </c>
    </row>
    <row r="440" spans="1:5" ht="15.75" thickBot="1" x14ac:dyDescent="0.3">
      <c r="A440" s="132" t="s">
        <v>54</v>
      </c>
      <c r="B440" s="133" t="s">
        <v>55</v>
      </c>
      <c r="C440" s="352" t="s">
        <v>64</v>
      </c>
      <c r="D440" s="353"/>
      <c r="E440" s="137">
        <v>18909775.719999999</v>
      </c>
    </row>
    <row r="441" spans="1:5" ht="23.25" thickBot="1" x14ac:dyDescent="0.3">
      <c r="A441" s="132" t="s">
        <v>65</v>
      </c>
      <c r="B441" s="133" t="s">
        <v>26</v>
      </c>
      <c r="C441" s="134" t="s">
        <v>58</v>
      </c>
      <c r="D441" s="134" t="s">
        <v>59</v>
      </c>
      <c r="E441" s="136">
        <v>2494599.9900000002</v>
      </c>
    </row>
    <row r="442" spans="1:5" ht="15.75" thickBot="1" x14ac:dyDescent="0.3">
      <c r="A442" s="132" t="s">
        <v>65</v>
      </c>
      <c r="B442" s="133" t="s">
        <v>26</v>
      </c>
      <c r="C442" s="352" t="s">
        <v>64</v>
      </c>
      <c r="D442" s="353"/>
      <c r="E442" s="137">
        <v>2494599.9900000002</v>
      </c>
    </row>
    <row r="443" spans="1:5" ht="23.25" thickBot="1" x14ac:dyDescent="0.3">
      <c r="A443" s="132" t="s">
        <v>88</v>
      </c>
      <c r="B443" s="133" t="s">
        <v>87</v>
      </c>
      <c r="C443" s="134" t="s">
        <v>475</v>
      </c>
      <c r="D443" s="134" t="s">
        <v>474</v>
      </c>
      <c r="E443" s="136">
        <v>13878.36</v>
      </c>
    </row>
    <row r="444" spans="1:5" ht="15.75" thickBot="1" x14ac:dyDescent="0.3">
      <c r="A444" s="132" t="s">
        <v>88</v>
      </c>
      <c r="B444" s="133" t="s">
        <v>87</v>
      </c>
      <c r="C444" s="352" t="s">
        <v>64</v>
      </c>
      <c r="D444" s="353"/>
      <c r="E444" s="137">
        <v>13878.36</v>
      </c>
    </row>
    <row r="445" spans="1:5" ht="23.25" thickBot="1" x14ac:dyDescent="0.3">
      <c r="A445" s="132" t="s">
        <v>66</v>
      </c>
      <c r="B445" s="133" t="s">
        <v>67</v>
      </c>
      <c r="C445" s="134" t="s">
        <v>58</v>
      </c>
      <c r="D445" s="134" t="s">
        <v>59</v>
      </c>
      <c r="E445" s="136">
        <v>69495689.459999993</v>
      </c>
    </row>
    <row r="446" spans="1:5" ht="15.75" thickBot="1" x14ac:dyDescent="0.3">
      <c r="A446" s="132" t="s">
        <v>66</v>
      </c>
      <c r="B446" s="133" t="s">
        <v>67</v>
      </c>
      <c r="C446" s="134" t="s">
        <v>479</v>
      </c>
      <c r="D446" s="134" t="s">
        <v>478</v>
      </c>
      <c r="E446" s="135">
        <v>9022.64</v>
      </c>
    </row>
    <row r="447" spans="1:5" ht="23.25" thickBot="1" x14ac:dyDescent="0.3">
      <c r="A447" s="132" t="s">
        <v>66</v>
      </c>
      <c r="B447" s="133" t="s">
        <v>67</v>
      </c>
      <c r="C447" s="134" t="s">
        <v>475</v>
      </c>
      <c r="D447" s="134" t="s">
        <v>474</v>
      </c>
      <c r="E447" s="136">
        <v>109559.38</v>
      </c>
    </row>
    <row r="448" spans="1:5" ht="15.75" thickBot="1" x14ac:dyDescent="0.3">
      <c r="A448" s="132" t="s">
        <v>66</v>
      </c>
      <c r="B448" s="133" t="s">
        <v>67</v>
      </c>
      <c r="C448" s="352" t="s">
        <v>64</v>
      </c>
      <c r="D448" s="353"/>
      <c r="E448" s="137">
        <v>69614271.480000004</v>
      </c>
    </row>
    <row r="449" spans="1:9" ht="23.25" thickBot="1" x14ac:dyDescent="0.3">
      <c r="A449" s="132" t="s">
        <v>72</v>
      </c>
      <c r="B449" s="133" t="s">
        <v>73</v>
      </c>
      <c r="C449" s="134" t="s">
        <v>58</v>
      </c>
      <c r="D449" s="134" t="s">
        <v>59</v>
      </c>
      <c r="E449" s="136">
        <v>22590348.07</v>
      </c>
    </row>
    <row r="450" spans="1:9" ht="23.25" thickBot="1" x14ac:dyDescent="0.3">
      <c r="A450" s="132" t="s">
        <v>72</v>
      </c>
      <c r="B450" s="133" t="s">
        <v>73</v>
      </c>
      <c r="C450" s="134" t="s">
        <v>214</v>
      </c>
      <c r="D450" s="134" t="s">
        <v>215</v>
      </c>
      <c r="E450" s="135">
        <v>266457</v>
      </c>
    </row>
    <row r="451" spans="1:9" ht="23.25" thickBot="1" x14ac:dyDescent="0.3">
      <c r="A451" s="132" t="s">
        <v>72</v>
      </c>
      <c r="B451" s="133" t="s">
        <v>73</v>
      </c>
      <c r="C451" s="134" t="s">
        <v>475</v>
      </c>
      <c r="D451" s="134" t="s">
        <v>474</v>
      </c>
      <c r="E451" s="136">
        <v>100038.39999999999</v>
      </c>
    </row>
    <row r="452" spans="1:9" ht="15.75" thickBot="1" x14ac:dyDescent="0.3">
      <c r="A452" s="132" t="s">
        <v>72</v>
      </c>
      <c r="B452" s="133" t="s">
        <v>73</v>
      </c>
      <c r="C452" s="352" t="s">
        <v>64</v>
      </c>
      <c r="D452" s="353"/>
      <c r="E452" s="137">
        <v>22956843.469999999</v>
      </c>
    </row>
    <row r="453" spans="1:9" ht="23.25" thickBot="1" x14ac:dyDescent="0.3">
      <c r="A453" s="132" t="s">
        <v>76</v>
      </c>
      <c r="B453" s="133" t="s">
        <v>77</v>
      </c>
      <c r="C453" s="134" t="s">
        <v>58</v>
      </c>
      <c r="D453" s="134" t="s">
        <v>59</v>
      </c>
      <c r="E453" s="136">
        <v>22232494.449999999</v>
      </c>
    </row>
    <row r="454" spans="1:9" ht="23.25" thickBot="1" x14ac:dyDescent="0.3">
      <c r="A454" s="132" t="s">
        <v>76</v>
      </c>
      <c r="B454" s="133" t="s">
        <v>77</v>
      </c>
      <c r="C454" s="134" t="s">
        <v>214</v>
      </c>
      <c r="D454" s="134" t="s">
        <v>215</v>
      </c>
      <c r="E454" s="135">
        <v>18206</v>
      </c>
    </row>
    <row r="455" spans="1:9" ht="23.25" thickBot="1" x14ac:dyDescent="0.3">
      <c r="A455" s="132" t="s">
        <v>76</v>
      </c>
      <c r="B455" s="133" t="s">
        <v>77</v>
      </c>
      <c r="C455" s="134" t="s">
        <v>475</v>
      </c>
      <c r="D455" s="134" t="s">
        <v>474</v>
      </c>
      <c r="E455" s="136">
        <v>111100.3</v>
      </c>
    </row>
    <row r="456" spans="1:9" ht="23.25" thickBot="1" x14ac:dyDescent="0.3">
      <c r="A456" s="132" t="s">
        <v>76</v>
      </c>
      <c r="B456" s="133" t="s">
        <v>77</v>
      </c>
      <c r="C456" s="352" t="s">
        <v>64</v>
      </c>
      <c r="D456" s="353"/>
      <c r="E456" s="137">
        <v>22361800.75</v>
      </c>
    </row>
    <row r="457" spans="1:9" ht="23.25" thickBot="1" x14ac:dyDescent="0.3">
      <c r="A457" s="132" t="s">
        <v>80</v>
      </c>
      <c r="B457" s="133" t="s">
        <v>24</v>
      </c>
      <c r="C457" s="134" t="s">
        <v>58</v>
      </c>
      <c r="D457" s="134" t="s">
        <v>59</v>
      </c>
      <c r="E457" s="136">
        <v>48165947.869999997</v>
      </c>
    </row>
    <row r="458" spans="1:9" ht="15.75" thickBot="1" x14ac:dyDescent="0.3">
      <c r="A458" s="132" t="s">
        <v>80</v>
      </c>
      <c r="B458" s="133" t="s">
        <v>24</v>
      </c>
      <c r="C458" s="134" t="s">
        <v>477</v>
      </c>
      <c r="D458" s="134" t="s">
        <v>476</v>
      </c>
      <c r="E458" s="135">
        <v>4928</v>
      </c>
    </row>
    <row r="459" spans="1:9" ht="23.25" thickBot="1" x14ac:dyDescent="0.3">
      <c r="A459" s="132" t="s">
        <v>80</v>
      </c>
      <c r="B459" s="133" t="s">
        <v>24</v>
      </c>
      <c r="C459" s="134" t="s">
        <v>475</v>
      </c>
      <c r="D459" s="134" t="s">
        <v>474</v>
      </c>
      <c r="E459" s="136">
        <v>15881</v>
      </c>
    </row>
    <row r="460" spans="1:9" ht="15.75" thickBot="1" x14ac:dyDescent="0.3">
      <c r="A460" s="132" t="s">
        <v>80</v>
      </c>
      <c r="B460" s="133" t="s">
        <v>24</v>
      </c>
      <c r="C460" s="352" t="s">
        <v>64</v>
      </c>
      <c r="D460" s="353"/>
      <c r="E460" s="137">
        <v>48186756.869999997</v>
      </c>
    </row>
    <row r="462" spans="1:9" ht="15.75" thickBot="1" x14ac:dyDescent="0.3">
      <c r="A462" s="80" t="s">
        <v>497</v>
      </c>
    </row>
    <row r="463" spans="1:9" ht="34.5" thickBot="1" x14ac:dyDescent="0.3">
      <c r="A463" s="347"/>
      <c r="B463" s="348"/>
      <c r="C463" s="348"/>
      <c r="D463" s="348"/>
      <c r="E463" s="348"/>
      <c r="F463" s="348"/>
      <c r="G463" s="349"/>
      <c r="H463" s="140"/>
      <c r="I463" s="134" t="s">
        <v>480</v>
      </c>
    </row>
    <row r="464" spans="1:9" ht="23.25" thickBot="1" x14ac:dyDescent="0.3">
      <c r="A464" s="350" t="s">
        <v>105</v>
      </c>
      <c r="B464" s="351"/>
      <c r="C464" s="134" t="s">
        <v>382</v>
      </c>
      <c r="D464" s="350" t="s">
        <v>94</v>
      </c>
      <c r="E464" s="351"/>
      <c r="F464" s="350" t="s">
        <v>92</v>
      </c>
      <c r="G464" s="351"/>
      <c r="H464" s="134" t="s">
        <v>209</v>
      </c>
      <c r="I464" s="140" t="s">
        <v>91</v>
      </c>
    </row>
    <row r="465" spans="1:9" ht="23.25" thickBot="1" x14ac:dyDescent="0.3">
      <c r="A465" s="134" t="s">
        <v>106</v>
      </c>
      <c r="B465" s="134" t="s">
        <v>107</v>
      </c>
      <c r="C465" s="134" t="s">
        <v>217</v>
      </c>
      <c r="D465" s="139" t="s">
        <v>90</v>
      </c>
      <c r="E465" s="139" t="s">
        <v>89</v>
      </c>
      <c r="F465" s="134" t="s">
        <v>481</v>
      </c>
      <c r="G465" s="134" t="s">
        <v>482</v>
      </c>
      <c r="H465" s="134" t="s">
        <v>380</v>
      </c>
      <c r="I465" s="136">
        <v>110.64</v>
      </c>
    </row>
    <row r="466" spans="1:9" ht="34.5" thickBot="1" x14ac:dyDescent="0.3">
      <c r="A466" s="134" t="s">
        <v>106</v>
      </c>
      <c r="B466" s="134" t="s">
        <v>107</v>
      </c>
      <c r="C466" s="134" t="s">
        <v>217</v>
      </c>
      <c r="D466" s="139" t="s">
        <v>90</v>
      </c>
      <c r="E466" s="139" t="s">
        <v>89</v>
      </c>
      <c r="F466" s="134" t="s">
        <v>481</v>
      </c>
      <c r="G466" s="134" t="s">
        <v>482</v>
      </c>
      <c r="H466" s="134" t="s">
        <v>483</v>
      </c>
      <c r="I466" s="135">
        <v>1403710.99</v>
      </c>
    </row>
    <row r="467" spans="1:9" ht="34.5" thickBot="1" x14ac:dyDescent="0.3">
      <c r="A467" s="134" t="s">
        <v>106</v>
      </c>
      <c r="B467" s="134" t="s">
        <v>107</v>
      </c>
      <c r="C467" s="134" t="s">
        <v>217</v>
      </c>
      <c r="D467" s="139" t="s">
        <v>90</v>
      </c>
      <c r="E467" s="139" t="s">
        <v>89</v>
      </c>
      <c r="F467" s="134" t="s">
        <v>481</v>
      </c>
      <c r="G467" s="134" t="s">
        <v>482</v>
      </c>
      <c r="H467" s="134" t="s">
        <v>484</v>
      </c>
      <c r="I467" s="136">
        <v>81331.78</v>
      </c>
    </row>
    <row r="468" spans="1:9" ht="23.25" thickBot="1" x14ac:dyDescent="0.3">
      <c r="A468" s="134" t="s">
        <v>106</v>
      </c>
      <c r="B468" s="134" t="s">
        <v>107</v>
      </c>
      <c r="C468" s="134" t="s">
        <v>217</v>
      </c>
      <c r="D468" s="139" t="s">
        <v>90</v>
      </c>
      <c r="E468" s="139" t="s">
        <v>89</v>
      </c>
      <c r="F468" s="134" t="s">
        <v>481</v>
      </c>
      <c r="G468" s="134" t="s">
        <v>482</v>
      </c>
      <c r="H468" s="134" t="s">
        <v>231</v>
      </c>
      <c r="I468" s="135">
        <v>-58105.599999999999</v>
      </c>
    </row>
    <row r="469" spans="1:9" ht="23.25" thickBot="1" x14ac:dyDescent="0.3">
      <c r="A469" s="134" t="s">
        <v>106</v>
      </c>
      <c r="B469" s="134" t="s">
        <v>107</v>
      </c>
      <c r="C469" s="134" t="s">
        <v>217</v>
      </c>
      <c r="D469" s="139" t="s">
        <v>90</v>
      </c>
      <c r="E469" s="139" t="s">
        <v>89</v>
      </c>
      <c r="F469" s="352" t="s">
        <v>64</v>
      </c>
      <c r="G469" s="354"/>
      <c r="H469" s="353"/>
      <c r="I469" s="137">
        <v>1427047.81</v>
      </c>
    </row>
    <row r="470" spans="1:9" ht="23.25" thickBot="1" x14ac:dyDescent="0.3">
      <c r="A470" s="134" t="s">
        <v>106</v>
      </c>
      <c r="B470" s="134" t="s">
        <v>107</v>
      </c>
      <c r="C470" s="352" t="s">
        <v>64</v>
      </c>
      <c r="D470" s="354"/>
      <c r="E470" s="354"/>
      <c r="F470" s="354"/>
      <c r="G470" s="354"/>
      <c r="H470" s="353"/>
      <c r="I470" s="137">
        <v>1427047.81</v>
      </c>
    </row>
    <row r="471" spans="1:9" ht="34.5" thickBot="1" x14ac:dyDescent="0.3">
      <c r="A471" s="134" t="s">
        <v>219</v>
      </c>
      <c r="B471" s="134" t="s">
        <v>220</v>
      </c>
      <c r="C471" s="134" t="s">
        <v>217</v>
      </c>
      <c r="D471" s="139" t="s">
        <v>90</v>
      </c>
      <c r="E471" s="139" t="s">
        <v>89</v>
      </c>
      <c r="F471" s="134" t="s">
        <v>481</v>
      </c>
      <c r="G471" s="134" t="s">
        <v>482</v>
      </c>
      <c r="H471" s="134" t="s">
        <v>483</v>
      </c>
      <c r="I471" s="136">
        <v>235426.75</v>
      </c>
    </row>
    <row r="472" spans="1:9" ht="23.25" thickBot="1" x14ac:dyDescent="0.3">
      <c r="A472" s="134" t="s">
        <v>219</v>
      </c>
      <c r="B472" s="134" t="s">
        <v>220</v>
      </c>
      <c r="C472" s="134" t="s">
        <v>217</v>
      </c>
      <c r="D472" s="139" t="s">
        <v>90</v>
      </c>
      <c r="E472" s="139" t="s">
        <v>89</v>
      </c>
      <c r="F472" s="352" t="s">
        <v>64</v>
      </c>
      <c r="G472" s="354"/>
      <c r="H472" s="353"/>
      <c r="I472" s="137">
        <v>235426.75</v>
      </c>
    </row>
    <row r="473" spans="1:9" ht="23.25" thickBot="1" x14ac:dyDescent="0.3">
      <c r="A473" s="134" t="s">
        <v>219</v>
      </c>
      <c r="B473" s="134" t="s">
        <v>220</v>
      </c>
      <c r="C473" s="352" t="s">
        <v>64</v>
      </c>
      <c r="D473" s="354"/>
      <c r="E473" s="354"/>
      <c r="F473" s="354"/>
      <c r="G473" s="354"/>
      <c r="H473" s="353"/>
      <c r="I473" s="137">
        <v>235426.75</v>
      </c>
    </row>
    <row r="474" spans="1:9" ht="23.25" thickBot="1" x14ac:dyDescent="0.3">
      <c r="A474" s="134" t="s">
        <v>121</v>
      </c>
      <c r="B474" s="134" t="s">
        <v>122</v>
      </c>
      <c r="C474" s="134" t="s">
        <v>217</v>
      </c>
      <c r="D474" s="139" t="s">
        <v>90</v>
      </c>
      <c r="E474" s="139" t="s">
        <v>89</v>
      </c>
      <c r="F474" s="134" t="s">
        <v>481</v>
      </c>
      <c r="G474" s="134" t="s">
        <v>482</v>
      </c>
      <c r="H474" s="134" t="s">
        <v>380</v>
      </c>
      <c r="I474" s="135">
        <v>911.63</v>
      </c>
    </row>
    <row r="475" spans="1:9" ht="34.5" thickBot="1" x14ac:dyDescent="0.3">
      <c r="A475" s="134" t="s">
        <v>121</v>
      </c>
      <c r="B475" s="134" t="s">
        <v>122</v>
      </c>
      <c r="C475" s="134" t="s">
        <v>217</v>
      </c>
      <c r="D475" s="139" t="s">
        <v>90</v>
      </c>
      <c r="E475" s="139" t="s">
        <v>89</v>
      </c>
      <c r="F475" s="134" t="s">
        <v>481</v>
      </c>
      <c r="G475" s="134" t="s">
        <v>482</v>
      </c>
      <c r="H475" s="134" t="s">
        <v>483</v>
      </c>
      <c r="I475" s="136">
        <v>6449088.7800000003</v>
      </c>
    </row>
    <row r="476" spans="1:9" ht="23.25" thickBot="1" x14ac:dyDescent="0.3">
      <c r="A476" s="134" t="s">
        <v>121</v>
      </c>
      <c r="B476" s="134" t="s">
        <v>122</v>
      </c>
      <c r="C476" s="134" t="s">
        <v>217</v>
      </c>
      <c r="D476" s="139" t="s">
        <v>90</v>
      </c>
      <c r="E476" s="139" t="s">
        <v>89</v>
      </c>
      <c r="F476" s="134" t="s">
        <v>481</v>
      </c>
      <c r="G476" s="134" t="s">
        <v>482</v>
      </c>
      <c r="H476" s="134" t="s">
        <v>485</v>
      </c>
      <c r="I476" s="135">
        <v>2816352.63</v>
      </c>
    </row>
    <row r="477" spans="1:9" ht="23.25" thickBot="1" x14ac:dyDescent="0.3">
      <c r="A477" s="134" t="s">
        <v>121</v>
      </c>
      <c r="B477" s="134" t="s">
        <v>122</v>
      </c>
      <c r="C477" s="134" t="s">
        <v>217</v>
      </c>
      <c r="D477" s="139" t="s">
        <v>90</v>
      </c>
      <c r="E477" s="139" t="s">
        <v>89</v>
      </c>
      <c r="F477" s="134" t="s">
        <v>486</v>
      </c>
      <c r="G477" s="134" t="s">
        <v>487</v>
      </c>
      <c r="H477" s="134" t="s">
        <v>380</v>
      </c>
      <c r="I477" s="136">
        <v>5495.25</v>
      </c>
    </row>
    <row r="478" spans="1:9" ht="23.25" thickBot="1" x14ac:dyDescent="0.3">
      <c r="A478" s="134" t="s">
        <v>121</v>
      </c>
      <c r="B478" s="134" t="s">
        <v>122</v>
      </c>
      <c r="C478" s="134" t="s">
        <v>217</v>
      </c>
      <c r="D478" s="139" t="s">
        <v>90</v>
      </c>
      <c r="E478" s="139" t="s">
        <v>89</v>
      </c>
      <c r="F478" s="352" t="s">
        <v>64</v>
      </c>
      <c r="G478" s="354"/>
      <c r="H478" s="353"/>
      <c r="I478" s="137">
        <v>9271848.2899999991</v>
      </c>
    </row>
    <row r="479" spans="1:9" ht="23.25" thickBot="1" x14ac:dyDescent="0.3">
      <c r="A479" s="134" t="s">
        <v>121</v>
      </c>
      <c r="B479" s="134" t="s">
        <v>122</v>
      </c>
      <c r="C479" s="352" t="s">
        <v>64</v>
      </c>
      <c r="D479" s="354"/>
      <c r="E479" s="354"/>
      <c r="F479" s="354"/>
      <c r="G479" s="354"/>
      <c r="H479" s="353"/>
      <c r="I479" s="137">
        <v>9271848.2899999991</v>
      </c>
    </row>
    <row r="480" spans="1:9" ht="23.25" thickBot="1" x14ac:dyDescent="0.3">
      <c r="A480" s="134" t="s">
        <v>123</v>
      </c>
      <c r="B480" s="134" t="s">
        <v>25</v>
      </c>
      <c r="C480" s="134" t="s">
        <v>217</v>
      </c>
      <c r="D480" s="139" t="s">
        <v>90</v>
      </c>
      <c r="E480" s="139" t="s">
        <v>89</v>
      </c>
      <c r="F480" s="134" t="s">
        <v>481</v>
      </c>
      <c r="G480" s="134" t="s">
        <v>482</v>
      </c>
      <c r="H480" s="134" t="s">
        <v>380</v>
      </c>
      <c r="I480" s="135">
        <v>285.82</v>
      </c>
    </row>
    <row r="481" spans="1:9" ht="34.5" thickBot="1" x14ac:dyDescent="0.3">
      <c r="A481" s="134" t="s">
        <v>123</v>
      </c>
      <c r="B481" s="134" t="s">
        <v>25</v>
      </c>
      <c r="C481" s="134" t="s">
        <v>217</v>
      </c>
      <c r="D481" s="139" t="s">
        <v>90</v>
      </c>
      <c r="E481" s="139" t="s">
        <v>89</v>
      </c>
      <c r="F481" s="134" t="s">
        <v>481</v>
      </c>
      <c r="G481" s="134" t="s">
        <v>482</v>
      </c>
      <c r="H481" s="134" t="s">
        <v>483</v>
      </c>
      <c r="I481" s="136">
        <v>5090933.7300000004</v>
      </c>
    </row>
    <row r="482" spans="1:9" ht="23.25" thickBot="1" x14ac:dyDescent="0.3">
      <c r="A482" s="134" t="s">
        <v>123</v>
      </c>
      <c r="B482" s="134" t="s">
        <v>25</v>
      </c>
      <c r="C482" s="134" t="s">
        <v>217</v>
      </c>
      <c r="D482" s="139" t="s">
        <v>90</v>
      </c>
      <c r="E482" s="139" t="s">
        <v>89</v>
      </c>
      <c r="F482" s="134" t="s">
        <v>486</v>
      </c>
      <c r="G482" s="134" t="s">
        <v>487</v>
      </c>
      <c r="H482" s="134" t="s">
        <v>380</v>
      </c>
      <c r="I482" s="135">
        <v>154.4</v>
      </c>
    </row>
    <row r="483" spans="1:9" ht="23.25" thickBot="1" x14ac:dyDescent="0.3">
      <c r="A483" s="134" t="s">
        <v>123</v>
      </c>
      <c r="B483" s="134" t="s">
        <v>25</v>
      </c>
      <c r="C483" s="134" t="s">
        <v>217</v>
      </c>
      <c r="D483" s="139" t="s">
        <v>90</v>
      </c>
      <c r="E483" s="139" t="s">
        <v>89</v>
      </c>
      <c r="F483" s="352" t="s">
        <v>64</v>
      </c>
      <c r="G483" s="354"/>
      <c r="H483" s="353"/>
      <c r="I483" s="137">
        <f>SUM(I480:I482)</f>
        <v>5091373.9500000011</v>
      </c>
    </row>
    <row r="484" spans="1:9" ht="23.25" thickBot="1" x14ac:dyDescent="0.3">
      <c r="A484" s="134" t="s">
        <v>123</v>
      </c>
      <c r="B484" s="134" t="s">
        <v>25</v>
      </c>
      <c r="C484" s="352" t="s">
        <v>64</v>
      </c>
      <c r="D484" s="354"/>
      <c r="E484" s="354"/>
      <c r="F484" s="354"/>
      <c r="G484" s="354"/>
      <c r="H484" s="353"/>
      <c r="I484" s="137">
        <v>5091373.9500000011</v>
      </c>
    </row>
    <row r="485" spans="1:9" ht="23.25" thickBot="1" x14ac:dyDescent="0.3">
      <c r="A485" s="134" t="s">
        <v>131</v>
      </c>
      <c r="B485" s="134" t="s">
        <v>132</v>
      </c>
      <c r="C485" s="134" t="s">
        <v>217</v>
      </c>
      <c r="D485" s="139" t="s">
        <v>90</v>
      </c>
      <c r="E485" s="139" t="s">
        <v>89</v>
      </c>
      <c r="F485" s="134" t="s">
        <v>481</v>
      </c>
      <c r="G485" s="134" t="s">
        <v>482</v>
      </c>
      <c r="H485" s="134" t="s">
        <v>380</v>
      </c>
      <c r="I485" s="135">
        <v>2106.67</v>
      </c>
    </row>
    <row r="486" spans="1:9" ht="23.25" thickBot="1" x14ac:dyDescent="0.3">
      <c r="A486" s="134" t="s">
        <v>131</v>
      </c>
      <c r="B486" s="134" t="s">
        <v>132</v>
      </c>
      <c r="C486" s="134" t="s">
        <v>217</v>
      </c>
      <c r="D486" s="139" t="s">
        <v>90</v>
      </c>
      <c r="E486" s="139" t="s">
        <v>89</v>
      </c>
      <c r="F486" s="134" t="s">
        <v>481</v>
      </c>
      <c r="G486" s="134" t="s">
        <v>482</v>
      </c>
      <c r="H486" s="134" t="s">
        <v>485</v>
      </c>
      <c r="I486" s="136">
        <v>11262881.68</v>
      </c>
    </row>
    <row r="487" spans="1:9" ht="23.25" thickBot="1" x14ac:dyDescent="0.3">
      <c r="A487" s="134" t="s">
        <v>131</v>
      </c>
      <c r="B487" s="134" t="s">
        <v>132</v>
      </c>
      <c r="C487" s="134" t="s">
        <v>217</v>
      </c>
      <c r="D487" s="139" t="s">
        <v>90</v>
      </c>
      <c r="E487" s="139" t="s">
        <v>89</v>
      </c>
      <c r="F487" s="134" t="s">
        <v>481</v>
      </c>
      <c r="G487" s="134" t="s">
        <v>482</v>
      </c>
      <c r="H487" s="134" t="s">
        <v>231</v>
      </c>
      <c r="I487" s="135">
        <v>95926.21</v>
      </c>
    </row>
    <row r="488" spans="1:9" ht="23.25" thickBot="1" x14ac:dyDescent="0.3">
      <c r="A488" s="134" t="s">
        <v>131</v>
      </c>
      <c r="B488" s="134" t="s">
        <v>132</v>
      </c>
      <c r="C488" s="134" t="s">
        <v>217</v>
      </c>
      <c r="D488" s="139" t="s">
        <v>90</v>
      </c>
      <c r="E488" s="139" t="s">
        <v>89</v>
      </c>
      <c r="F488" s="134" t="s">
        <v>486</v>
      </c>
      <c r="G488" s="134" t="s">
        <v>487</v>
      </c>
      <c r="H488" s="134" t="s">
        <v>488</v>
      </c>
      <c r="I488" s="136">
        <v>775.2</v>
      </c>
    </row>
    <row r="489" spans="1:9" ht="23.25" thickBot="1" x14ac:dyDescent="0.3">
      <c r="A489" s="134" t="s">
        <v>131</v>
      </c>
      <c r="B489" s="134" t="s">
        <v>132</v>
      </c>
      <c r="C489" s="134" t="s">
        <v>217</v>
      </c>
      <c r="D489" s="139" t="s">
        <v>90</v>
      </c>
      <c r="E489" s="139" t="s">
        <v>89</v>
      </c>
      <c r="F489" s="134" t="s">
        <v>486</v>
      </c>
      <c r="G489" s="134" t="s">
        <v>487</v>
      </c>
      <c r="H489" s="134" t="s">
        <v>485</v>
      </c>
      <c r="I489" s="135">
        <v>190</v>
      </c>
    </row>
    <row r="490" spans="1:9" ht="45.75" thickBot="1" x14ac:dyDescent="0.3">
      <c r="A490" s="134" t="s">
        <v>131</v>
      </c>
      <c r="B490" s="134" t="s">
        <v>132</v>
      </c>
      <c r="C490" s="134" t="s">
        <v>217</v>
      </c>
      <c r="D490" s="139" t="s">
        <v>90</v>
      </c>
      <c r="E490" s="139" t="s">
        <v>89</v>
      </c>
      <c r="F490" s="134" t="s">
        <v>486</v>
      </c>
      <c r="G490" s="134" t="s">
        <v>487</v>
      </c>
      <c r="H490" s="134" t="s">
        <v>489</v>
      </c>
      <c r="I490" s="136">
        <v>5464</v>
      </c>
    </row>
    <row r="491" spans="1:9" ht="23.25" thickBot="1" x14ac:dyDescent="0.3">
      <c r="A491" s="134" t="s">
        <v>131</v>
      </c>
      <c r="B491" s="134" t="s">
        <v>132</v>
      </c>
      <c r="C491" s="134" t="s">
        <v>217</v>
      </c>
      <c r="D491" s="139" t="s">
        <v>90</v>
      </c>
      <c r="E491" s="139" t="s">
        <v>89</v>
      </c>
      <c r="F491" s="352" t="s">
        <v>64</v>
      </c>
      <c r="G491" s="354"/>
      <c r="H491" s="353"/>
      <c r="I491" s="137">
        <v>11367343.76</v>
      </c>
    </row>
    <row r="492" spans="1:9" ht="23.25" thickBot="1" x14ac:dyDescent="0.3">
      <c r="A492" s="134" t="s">
        <v>131</v>
      </c>
      <c r="B492" s="134" t="s">
        <v>132</v>
      </c>
      <c r="C492" s="352" t="s">
        <v>64</v>
      </c>
      <c r="D492" s="354"/>
      <c r="E492" s="354"/>
      <c r="F492" s="354"/>
      <c r="G492" s="354"/>
      <c r="H492" s="353"/>
      <c r="I492" s="137">
        <v>11367343.76</v>
      </c>
    </row>
    <row r="493" spans="1:9" ht="23.25" thickBot="1" x14ac:dyDescent="0.3">
      <c r="A493" s="134" t="s">
        <v>139</v>
      </c>
      <c r="B493" s="134" t="s">
        <v>24</v>
      </c>
      <c r="C493" s="134" t="s">
        <v>217</v>
      </c>
      <c r="D493" s="139" t="s">
        <v>90</v>
      </c>
      <c r="E493" s="139" t="s">
        <v>89</v>
      </c>
      <c r="F493" s="134" t="s">
        <v>481</v>
      </c>
      <c r="G493" s="134" t="s">
        <v>482</v>
      </c>
      <c r="H493" s="134" t="s">
        <v>490</v>
      </c>
      <c r="I493" s="135">
        <v>34491.980000000003</v>
      </c>
    </row>
    <row r="494" spans="1:9" ht="34.5" thickBot="1" x14ac:dyDescent="0.3">
      <c r="A494" s="134" t="s">
        <v>139</v>
      </c>
      <c r="B494" s="134" t="s">
        <v>24</v>
      </c>
      <c r="C494" s="134" t="s">
        <v>217</v>
      </c>
      <c r="D494" s="139" t="s">
        <v>90</v>
      </c>
      <c r="E494" s="139" t="s">
        <v>89</v>
      </c>
      <c r="F494" s="134" t="s">
        <v>481</v>
      </c>
      <c r="G494" s="134" t="s">
        <v>482</v>
      </c>
      <c r="H494" s="134" t="s">
        <v>491</v>
      </c>
      <c r="I494" s="136">
        <v>170019</v>
      </c>
    </row>
    <row r="495" spans="1:9" ht="23.25" thickBot="1" x14ac:dyDescent="0.3">
      <c r="A495" s="134" t="s">
        <v>139</v>
      </c>
      <c r="B495" s="134" t="s">
        <v>24</v>
      </c>
      <c r="C495" s="134" t="s">
        <v>217</v>
      </c>
      <c r="D495" s="139" t="s">
        <v>90</v>
      </c>
      <c r="E495" s="139" t="s">
        <v>89</v>
      </c>
      <c r="F495" s="134" t="s">
        <v>481</v>
      </c>
      <c r="G495" s="134" t="s">
        <v>482</v>
      </c>
      <c r="H495" s="134" t="s">
        <v>492</v>
      </c>
      <c r="I495" s="135">
        <v>4197.68</v>
      </c>
    </row>
    <row r="496" spans="1:9" ht="23.25" thickBot="1" x14ac:dyDescent="0.3">
      <c r="A496" s="134" t="s">
        <v>139</v>
      </c>
      <c r="B496" s="134" t="s">
        <v>24</v>
      </c>
      <c r="C496" s="134" t="s">
        <v>217</v>
      </c>
      <c r="D496" s="139" t="s">
        <v>90</v>
      </c>
      <c r="E496" s="139" t="s">
        <v>89</v>
      </c>
      <c r="F496" s="134" t="s">
        <v>481</v>
      </c>
      <c r="G496" s="134" t="s">
        <v>482</v>
      </c>
      <c r="H496" s="134" t="s">
        <v>380</v>
      </c>
      <c r="I496" s="136">
        <v>3061.03</v>
      </c>
    </row>
    <row r="497" spans="1:9" ht="34.5" thickBot="1" x14ac:dyDescent="0.3">
      <c r="A497" s="134" t="s">
        <v>139</v>
      </c>
      <c r="B497" s="134" t="s">
        <v>24</v>
      </c>
      <c r="C497" s="134" t="s">
        <v>217</v>
      </c>
      <c r="D497" s="139" t="s">
        <v>90</v>
      </c>
      <c r="E497" s="139" t="s">
        <v>89</v>
      </c>
      <c r="F497" s="134" t="s">
        <v>481</v>
      </c>
      <c r="G497" s="134" t="s">
        <v>482</v>
      </c>
      <c r="H497" s="134" t="s">
        <v>483</v>
      </c>
      <c r="I497" s="135">
        <v>2556896.13</v>
      </c>
    </row>
    <row r="498" spans="1:9" ht="57" thickBot="1" x14ac:dyDescent="0.3">
      <c r="A498" s="134" t="s">
        <v>139</v>
      </c>
      <c r="B498" s="134" t="s">
        <v>24</v>
      </c>
      <c r="C498" s="134" t="s">
        <v>217</v>
      </c>
      <c r="D498" s="139" t="s">
        <v>90</v>
      </c>
      <c r="E498" s="139" t="s">
        <v>89</v>
      </c>
      <c r="F498" s="134" t="s">
        <v>481</v>
      </c>
      <c r="G498" s="134" t="s">
        <v>482</v>
      </c>
      <c r="H498" s="134" t="s">
        <v>493</v>
      </c>
      <c r="I498" s="136">
        <v>434445.89</v>
      </c>
    </row>
    <row r="499" spans="1:9" ht="23.25" thickBot="1" x14ac:dyDescent="0.3">
      <c r="A499" s="134" t="s">
        <v>139</v>
      </c>
      <c r="B499" s="134" t="s">
        <v>24</v>
      </c>
      <c r="C499" s="134" t="s">
        <v>217</v>
      </c>
      <c r="D499" s="139" t="s">
        <v>90</v>
      </c>
      <c r="E499" s="139" t="s">
        <v>89</v>
      </c>
      <c r="F499" s="134" t="s">
        <v>481</v>
      </c>
      <c r="G499" s="134" t="s">
        <v>482</v>
      </c>
      <c r="H499" s="134" t="s">
        <v>124</v>
      </c>
      <c r="I499" s="135">
        <v>108863.61</v>
      </c>
    </row>
    <row r="500" spans="1:9" ht="34.5" thickBot="1" x14ac:dyDescent="0.3">
      <c r="A500" s="134" t="s">
        <v>139</v>
      </c>
      <c r="B500" s="134" t="s">
        <v>24</v>
      </c>
      <c r="C500" s="134" t="s">
        <v>217</v>
      </c>
      <c r="D500" s="139" t="s">
        <v>90</v>
      </c>
      <c r="E500" s="139" t="s">
        <v>89</v>
      </c>
      <c r="F500" s="134" t="s">
        <v>481</v>
      </c>
      <c r="G500" s="134" t="s">
        <v>482</v>
      </c>
      <c r="H500" s="134" t="s">
        <v>484</v>
      </c>
      <c r="I500" s="136">
        <v>92928.1</v>
      </c>
    </row>
    <row r="501" spans="1:9" ht="23.25" thickBot="1" x14ac:dyDescent="0.3">
      <c r="A501" s="134" t="s">
        <v>139</v>
      </c>
      <c r="B501" s="134" t="s">
        <v>24</v>
      </c>
      <c r="C501" s="134" t="s">
        <v>217</v>
      </c>
      <c r="D501" s="139" t="s">
        <v>90</v>
      </c>
      <c r="E501" s="139" t="s">
        <v>89</v>
      </c>
      <c r="F501" s="134" t="s">
        <v>481</v>
      </c>
      <c r="G501" s="134" t="s">
        <v>482</v>
      </c>
      <c r="H501" s="134" t="s">
        <v>485</v>
      </c>
      <c r="I501" s="135">
        <v>10142</v>
      </c>
    </row>
    <row r="502" spans="1:9" ht="23.25" thickBot="1" x14ac:dyDescent="0.3">
      <c r="A502" s="134" t="s">
        <v>139</v>
      </c>
      <c r="B502" s="134" t="s">
        <v>24</v>
      </c>
      <c r="C502" s="134" t="s">
        <v>217</v>
      </c>
      <c r="D502" s="139" t="s">
        <v>90</v>
      </c>
      <c r="E502" s="139" t="s">
        <v>89</v>
      </c>
      <c r="F502" s="134" t="s">
        <v>481</v>
      </c>
      <c r="G502" s="134" t="s">
        <v>482</v>
      </c>
      <c r="H502" s="134" t="s">
        <v>231</v>
      </c>
      <c r="I502" s="136">
        <v>1106502.3600000001</v>
      </c>
    </row>
    <row r="503" spans="1:9" ht="23.25" thickBot="1" x14ac:dyDescent="0.3">
      <c r="A503" s="134" t="s">
        <v>139</v>
      </c>
      <c r="B503" s="134" t="s">
        <v>24</v>
      </c>
      <c r="C503" s="134" t="s">
        <v>217</v>
      </c>
      <c r="D503" s="139" t="s">
        <v>90</v>
      </c>
      <c r="E503" s="139" t="s">
        <v>89</v>
      </c>
      <c r="F503" s="134" t="s">
        <v>486</v>
      </c>
      <c r="G503" s="134" t="s">
        <v>487</v>
      </c>
      <c r="H503" s="134" t="s">
        <v>494</v>
      </c>
      <c r="I503" s="135">
        <v>300</v>
      </c>
    </row>
    <row r="504" spans="1:9" ht="23.25" thickBot="1" x14ac:dyDescent="0.3">
      <c r="A504" s="134" t="s">
        <v>139</v>
      </c>
      <c r="B504" s="134" t="s">
        <v>24</v>
      </c>
      <c r="C504" s="134" t="s">
        <v>217</v>
      </c>
      <c r="D504" s="139" t="s">
        <v>90</v>
      </c>
      <c r="E504" s="139" t="s">
        <v>89</v>
      </c>
      <c r="F504" s="134" t="s">
        <v>486</v>
      </c>
      <c r="G504" s="134" t="s">
        <v>487</v>
      </c>
      <c r="H504" s="134" t="s">
        <v>380</v>
      </c>
      <c r="I504" s="136">
        <v>8041.85</v>
      </c>
    </row>
    <row r="505" spans="1:9" ht="34.5" thickBot="1" x14ac:dyDescent="0.3">
      <c r="A505" s="134" t="s">
        <v>139</v>
      </c>
      <c r="B505" s="134" t="s">
        <v>24</v>
      </c>
      <c r="C505" s="134" t="s">
        <v>217</v>
      </c>
      <c r="D505" s="139" t="s">
        <v>90</v>
      </c>
      <c r="E505" s="139" t="s">
        <v>89</v>
      </c>
      <c r="F505" s="134" t="s">
        <v>486</v>
      </c>
      <c r="G505" s="134" t="s">
        <v>487</v>
      </c>
      <c r="H505" s="134" t="s">
        <v>483</v>
      </c>
      <c r="I505" s="135">
        <v>2033.86</v>
      </c>
    </row>
    <row r="506" spans="1:9" ht="23.25" thickBot="1" x14ac:dyDescent="0.3">
      <c r="A506" s="134" t="s">
        <v>139</v>
      </c>
      <c r="B506" s="134" t="s">
        <v>24</v>
      </c>
      <c r="C506" s="134" t="s">
        <v>217</v>
      </c>
      <c r="D506" s="139" t="s">
        <v>90</v>
      </c>
      <c r="E506" s="139" t="s">
        <v>89</v>
      </c>
      <c r="F506" s="134" t="s">
        <v>486</v>
      </c>
      <c r="G506" s="134" t="s">
        <v>487</v>
      </c>
      <c r="H506" s="134" t="s">
        <v>495</v>
      </c>
      <c r="I506" s="136">
        <v>5725.06</v>
      </c>
    </row>
    <row r="507" spans="1:9" ht="45.75" thickBot="1" x14ac:dyDescent="0.3">
      <c r="A507" s="134" t="s">
        <v>139</v>
      </c>
      <c r="B507" s="134" t="s">
        <v>24</v>
      </c>
      <c r="C507" s="134" t="s">
        <v>217</v>
      </c>
      <c r="D507" s="139" t="s">
        <v>90</v>
      </c>
      <c r="E507" s="139" t="s">
        <v>89</v>
      </c>
      <c r="F507" s="134" t="s">
        <v>486</v>
      </c>
      <c r="G507" s="134" t="s">
        <v>487</v>
      </c>
      <c r="H507" s="134" t="s">
        <v>496</v>
      </c>
      <c r="I507" s="135">
        <v>91.8</v>
      </c>
    </row>
    <row r="508" spans="1:9" ht="23.25" thickBot="1" x14ac:dyDescent="0.3">
      <c r="A508" s="134" t="s">
        <v>139</v>
      </c>
      <c r="B508" s="134" t="s">
        <v>24</v>
      </c>
      <c r="C508" s="134" t="s">
        <v>217</v>
      </c>
      <c r="D508" s="139" t="s">
        <v>90</v>
      </c>
      <c r="E508" s="139" t="s">
        <v>89</v>
      </c>
      <c r="F508" s="134" t="s">
        <v>486</v>
      </c>
      <c r="G508" s="134" t="s">
        <v>487</v>
      </c>
      <c r="H508" s="134" t="s">
        <v>231</v>
      </c>
      <c r="I508" s="136">
        <v>-702</v>
      </c>
    </row>
    <row r="509" spans="1:9" ht="23.25" thickBot="1" x14ac:dyDescent="0.3">
      <c r="A509" s="134" t="s">
        <v>139</v>
      </c>
      <c r="B509" s="134" t="s">
        <v>24</v>
      </c>
      <c r="C509" s="134" t="s">
        <v>217</v>
      </c>
      <c r="D509" s="139" t="s">
        <v>90</v>
      </c>
      <c r="E509" s="139" t="s">
        <v>89</v>
      </c>
      <c r="F509" s="352" t="s">
        <v>64</v>
      </c>
      <c r="G509" s="354"/>
      <c r="H509" s="353"/>
      <c r="I509" s="137">
        <v>4537038.3499999996</v>
      </c>
    </row>
    <row r="510" spans="1:9" ht="15.75" thickBot="1" x14ac:dyDescent="0.3">
      <c r="A510" s="134" t="s">
        <v>139</v>
      </c>
      <c r="B510" s="134" t="s">
        <v>24</v>
      </c>
      <c r="C510" s="352" t="s">
        <v>64</v>
      </c>
      <c r="D510" s="354"/>
      <c r="E510" s="354"/>
      <c r="F510" s="354"/>
      <c r="G510" s="354"/>
      <c r="H510" s="353"/>
      <c r="I510" s="137">
        <v>4537038.3499999996</v>
      </c>
    </row>
    <row r="511" spans="1:9" ht="23.25" thickBot="1" x14ac:dyDescent="0.3">
      <c r="A511" s="134" t="s">
        <v>195</v>
      </c>
      <c r="B511" s="134" t="s">
        <v>196</v>
      </c>
      <c r="C511" s="134" t="s">
        <v>217</v>
      </c>
      <c r="D511" s="139" t="s">
        <v>90</v>
      </c>
      <c r="E511" s="139" t="s">
        <v>89</v>
      </c>
      <c r="F511" s="134" t="s">
        <v>481</v>
      </c>
      <c r="G511" s="134" t="s">
        <v>482</v>
      </c>
      <c r="H511" s="134" t="s">
        <v>380</v>
      </c>
      <c r="I511" s="135">
        <v>4469.18</v>
      </c>
    </row>
    <row r="512" spans="1:9" ht="34.5" thickBot="1" x14ac:dyDescent="0.3">
      <c r="A512" s="134" t="s">
        <v>195</v>
      </c>
      <c r="B512" s="134" t="s">
        <v>196</v>
      </c>
      <c r="C512" s="134" t="s">
        <v>217</v>
      </c>
      <c r="D512" s="139" t="s">
        <v>90</v>
      </c>
      <c r="E512" s="139" t="s">
        <v>89</v>
      </c>
      <c r="F512" s="134" t="s">
        <v>481</v>
      </c>
      <c r="G512" s="134" t="s">
        <v>482</v>
      </c>
      <c r="H512" s="134" t="s">
        <v>483</v>
      </c>
      <c r="I512" s="136">
        <v>926613.76</v>
      </c>
    </row>
    <row r="513" spans="1:9" ht="23.25" thickBot="1" x14ac:dyDescent="0.3">
      <c r="A513" s="134" t="s">
        <v>195</v>
      </c>
      <c r="B513" s="134" t="s">
        <v>196</v>
      </c>
      <c r="C513" s="134" t="s">
        <v>217</v>
      </c>
      <c r="D513" s="139" t="s">
        <v>90</v>
      </c>
      <c r="E513" s="139" t="s">
        <v>89</v>
      </c>
      <c r="F513" s="134" t="s">
        <v>481</v>
      </c>
      <c r="G513" s="134" t="s">
        <v>482</v>
      </c>
      <c r="H513" s="134" t="s">
        <v>485</v>
      </c>
      <c r="I513" s="135">
        <v>1024599.59</v>
      </c>
    </row>
    <row r="514" spans="1:9" ht="23.25" thickBot="1" x14ac:dyDescent="0.3">
      <c r="A514" s="134" t="s">
        <v>195</v>
      </c>
      <c r="B514" s="134" t="s">
        <v>196</v>
      </c>
      <c r="C514" s="134" t="s">
        <v>217</v>
      </c>
      <c r="D514" s="139" t="s">
        <v>90</v>
      </c>
      <c r="E514" s="139" t="s">
        <v>89</v>
      </c>
      <c r="F514" s="134" t="s">
        <v>486</v>
      </c>
      <c r="G514" s="134" t="s">
        <v>487</v>
      </c>
      <c r="H514" s="134" t="s">
        <v>380</v>
      </c>
      <c r="I514" s="136">
        <v>2702.8</v>
      </c>
    </row>
    <row r="515" spans="1:9" ht="23.25" thickBot="1" x14ac:dyDescent="0.3">
      <c r="A515" s="134" t="s">
        <v>195</v>
      </c>
      <c r="B515" s="134" t="s">
        <v>196</v>
      </c>
      <c r="C515" s="134" t="s">
        <v>217</v>
      </c>
      <c r="D515" s="139" t="s">
        <v>90</v>
      </c>
      <c r="E515" s="139" t="s">
        <v>89</v>
      </c>
      <c r="F515" s="352" t="s">
        <v>64</v>
      </c>
      <c r="G515" s="354"/>
      <c r="H515" s="353"/>
      <c r="I515" s="137">
        <v>1958385.33</v>
      </c>
    </row>
    <row r="516" spans="1:9" ht="23.25" thickBot="1" x14ac:dyDescent="0.3">
      <c r="A516" s="134" t="s">
        <v>195</v>
      </c>
      <c r="B516" s="134" t="s">
        <v>196</v>
      </c>
      <c r="C516" s="352" t="s">
        <v>64</v>
      </c>
      <c r="D516" s="354"/>
      <c r="E516" s="354"/>
      <c r="F516" s="354"/>
      <c r="G516" s="354"/>
      <c r="H516" s="353"/>
      <c r="I516" s="137">
        <v>1958385.33</v>
      </c>
    </row>
    <row r="517" spans="1:9" ht="15.75" thickBot="1" x14ac:dyDescent="0.3">
      <c r="A517" s="352" t="s">
        <v>104</v>
      </c>
      <c r="B517" s="354"/>
      <c r="C517" s="354"/>
      <c r="D517" s="354"/>
      <c r="E517" s="354"/>
      <c r="F517" s="354"/>
      <c r="G517" s="354"/>
      <c r="H517" s="353"/>
      <c r="I517" s="137">
        <f>+I516+I510+I492+I484+I479+I473+I470</f>
        <v>33888464.240000002</v>
      </c>
    </row>
    <row r="519" spans="1:9" s="236" customFormat="1" x14ac:dyDescent="0.25"/>
    <row r="520" spans="1:9" s="236" customFormat="1" ht="15.75" thickBot="1" x14ac:dyDescent="0.3"/>
    <row r="521" spans="1:9" ht="15.75" thickBot="1" x14ac:dyDescent="0.3">
      <c r="A521" s="347"/>
      <c r="B521" s="348"/>
      <c r="C521" s="349"/>
      <c r="D521" s="140"/>
      <c r="E521" s="134" t="s">
        <v>95</v>
      </c>
    </row>
    <row r="522" spans="1:9" ht="15.75" thickBot="1" x14ac:dyDescent="0.3">
      <c r="A522" s="350" t="s">
        <v>94</v>
      </c>
      <c r="B522" s="351"/>
      <c r="C522" s="134" t="s">
        <v>228</v>
      </c>
      <c r="D522" s="141"/>
      <c r="E522" s="140" t="s">
        <v>91</v>
      </c>
    </row>
    <row r="523" spans="1:9" ht="23.25" thickBot="1" x14ac:dyDescent="0.3">
      <c r="A523" s="139" t="s">
        <v>90</v>
      </c>
      <c r="B523" s="139" t="s">
        <v>89</v>
      </c>
      <c r="C523" s="134" t="s">
        <v>511</v>
      </c>
      <c r="D523" s="134" t="s">
        <v>510</v>
      </c>
      <c r="E523" s="136">
        <v>2040493.39</v>
      </c>
    </row>
    <row r="524" spans="1:9" ht="23.25" thickBot="1" x14ac:dyDescent="0.3">
      <c r="A524" s="139" t="s">
        <v>90</v>
      </c>
      <c r="B524" s="139" t="s">
        <v>89</v>
      </c>
      <c r="C524" s="134" t="s">
        <v>509</v>
      </c>
      <c r="D524" s="134" t="s">
        <v>508</v>
      </c>
      <c r="E524" s="135">
        <v>15117763.51</v>
      </c>
    </row>
    <row r="525" spans="1:9" ht="23.25" thickBot="1" x14ac:dyDescent="0.3">
      <c r="A525" s="139" t="s">
        <v>90</v>
      </c>
      <c r="B525" s="139" t="s">
        <v>89</v>
      </c>
      <c r="C525" s="134" t="s">
        <v>507</v>
      </c>
      <c r="D525" s="134" t="s">
        <v>506</v>
      </c>
      <c r="E525" s="136">
        <v>424611.4</v>
      </c>
    </row>
    <row r="526" spans="1:9" ht="23.25" thickBot="1" x14ac:dyDescent="0.3">
      <c r="A526" s="139" t="s">
        <v>90</v>
      </c>
      <c r="B526" s="139" t="s">
        <v>89</v>
      </c>
      <c r="C526" s="134" t="s">
        <v>505</v>
      </c>
      <c r="D526" s="134" t="s">
        <v>504</v>
      </c>
      <c r="E526" s="135">
        <v>438.27</v>
      </c>
    </row>
    <row r="527" spans="1:9" ht="23.25" thickBot="1" x14ac:dyDescent="0.3">
      <c r="A527" s="139" t="s">
        <v>90</v>
      </c>
      <c r="B527" s="139" t="s">
        <v>89</v>
      </c>
      <c r="C527" s="134" t="s">
        <v>503</v>
      </c>
      <c r="D527" s="134" t="s">
        <v>502</v>
      </c>
      <c r="E527" s="136">
        <v>1705895.26</v>
      </c>
    </row>
    <row r="528" spans="1:9" ht="23.25" thickBot="1" x14ac:dyDescent="0.3">
      <c r="A528" s="139" t="s">
        <v>90</v>
      </c>
      <c r="B528" s="139" t="s">
        <v>89</v>
      </c>
      <c r="C528" s="134" t="s">
        <v>501</v>
      </c>
      <c r="D528" s="134" t="s">
        <v>500</v>
      </c>
      <c r="E528" s="135">
        <v>1855149.15</v>
      </c>
    </row>
    <row r="529" spans="1:8" ht="23.25" thickBot="1" x14ac:dyDescent="0.3">
      <c r="A529" s="139" t="s">
        <v>90</v>
      </c>
      <c r="B529" s="139" t="s">
        <v>89</v>
      </c>
      <c r="C529" s="134" t="s">
        <v>499</v>
      </c>
      <c r="D529" s="134" t="s">
        <v>498</v>
      </c>
      <c r="E529" s="136">
        <v>485.89</v>
      </c>
    </row>
    <row r="530" spans="1:8" ht="15.75" thickBot="1" x14ac:dyDescent="0.3">
      <c r="A530" s="139" t="s">
        <v>90</v>
      </c>
      <c r="B530" s="139" t="s">
        <v>89</v>
      </c>
      <c r="C530" s="352" t="s">
        <v>64</v>
      </c>
      <c r="D530" s="353"/>
      <c r="E530" s="137">
        <v>21144836.870000001</v>
      </c>
      <c r="F530" s="2">
        <f>+E530-E528</f>
        <v>19289687.720000003</v>
      </c>
    </row>
    <row r="532" spans="1:8" ht="15.75" thickBot="1" x14ac:dyDescent="0.3">
      <c r="A532" s="80" t="s">
        <v>164</v>
      </c>
    </row>
    <row r="533" spans="1:8" ht="15.75" thickBot="1" x14ac:dyDescent="0.3">
      <c r="A533" s="347"/>
      <c r="B533" s="348"/>
      <c r="C533" s="348"/>
      <c r="D533" s="348"/>
      <c r="E533" s="349"/>
      <c r="F533" s="140"/>
      <c r="G533" s="134" t="s">
        <v>95</v>
      </c>
    </row>
    <row r="534" spans="1:8" ht="15.75" thickBot="1" x14ac:dyDescent="0.3">
      <c r="A534" s="350" t="s">
        <v>105</v>
      </c>
      <c r="B534" s="351"/>
      <c r="C534" s="350" t="s">
        <v>94</v>
      </c>
      <c r="D534" s="351"/>
      <c r="E534" s="134" t="s">
        <v>188</v>
      </c>
      <c r="F534" s="141"/>
      <c r="G534" s="140" t="s">
        <v>91</v>
      </c>
    </row>
    <row r="535" spans="1:8" ht="23.25" thickBot="1" x14ac:dyDescent="0.3">
      <c r="A535" s="134" t="s">
        <v>123</v>
      </c>
      <c r="B535" s="134" t="s">
        <v>25</v>
      </c>
      <c r="C535" s="139" t="s">
        <v>878</v>
      </c>
      <c r="D535" s="139" t="s">
        <v>164</v>
      </c>
      <c r="E535" s="134" t="s">
        <v>531</v>
      </c>
      <c r="F535" s="134" t="s">
        <v>530</v>
      </c>
      <c r="G535" s="136">
        <v>22231337.190000001</v>
      </c>
    </row>
    <row r="536" spans="1:8" ht="23.25" thickBot="1" x14ac:dyDescent="0.3">
      <c r="A536" s="134" t="s">
        <v>123</v>
      </c>
      <c r="B536" s="134" t="s">
        <v>25</v>
      </c>
      <c r="C536" s="139" t="s">
        <v>163</v>
      </c>
      <c r="D536" s="139" t="s">
        <v>164</v>
      </c>
      <c r="E536" s="134" t="s">
        <v>529</v>
      </c>
      <c r="F536" s="134" t="s">
        <v>528</v>
      </c>
      <c r="G536" s="135">
        <v>2056030.83</v>
      </c>
    </row>
    <row r="537" spans="1:8" ht="23.25" thickBot="1" x14ac:dyDescent="0.3">
      <c r="A537" s="134" t="s">
        <v>123</v>
      </c>
      <c r="B537" s="134" t="s">
        <v>25</v>
      </c>
      <c r="C537" s="139" t="s">
        <v>163</v>
      </c>
      <c r="D537" s="139" t="s">
        <v>164</v>
      </c>
      <c r="E537" s="134" t="s">
        <v>527</v>
      </c>
      <c r="F537" s="134" t="s">
        <v>526</v>
      </c>
      <c r="G537" s="136">
        <v>708453.4</v>
      </c>
      <c r="H537" s="218" t="s">
        <v>597</v>
      </c>
    </row>
    <row r="538" spans="1:8" ht="23.25" thickBot="1" x14ac:dyDescent="0.3">
      <c r="A538" s="134" t="s">
        <v>123</v>
      </c>
      <c r="B538" s="134" t="s">
        <v>25</v>
      </c>
      <c r="C538" s="139" t="s">
        <v>163</v>
      </c>
      <c r="D538" s="139" t="s">
        <v>164</v>
      </c>
      <c r="E538" s="134" t="s">
        <v>525</v>
      </c>
      <c r="F538" s="134" t="s">
        <v>524</v>
      </c>
      <c r="G538" s="135">
        <v>3972634.22</v>
      </c>
      <c r="H538" t="s">
        <v>596</v>
      </c>
    </row>
    <row r="539" spans="1:8" ht="23.25" thickBot="1" x14ac:dyDescent="0.3">
      <c r="A539" s="134" t="s">
        <v>123</v>
      </c>
      <c r="B539" s="134" t="s">
        <v>25</v>
      </c>
      <c r="C539" s="139" t="s">
        <v>163</v>
      </c>
      <c r="D539" s="139" t="s">
        <v>164</v>
      </c>
      <c r="E539" s="134" t="s">
        <v>523</v>
      </c>
      <c r="F539" s="134" t="s">
        <v>522</v>
      </c>
      <c r="G539" s="136">
        <v>1240683.4099999999</v>
      </c>
    </row>
    <row r="540" spans="1:8" ht="23.25" thickBot="1" x14ac:dyDescent="0.3">
      <c r="A540" s="134" t="s">
        <v>123</v>
      </c>
      <c r="B540" s="134" t="s">
        <v>25</v>
      </c>
      <c r="C540" s="139" t="s">
        <v>163</v>
      </c>
      <c r="D540" s="139" t="s">
        <v>164</v>
      </c>
      <c r="E540" s="134" t="s">
        <v>521</v>
      </c>
      <c r="F540" s="134" t="s">
        <v>520</v>
      </c>
      <c r="G540" s="135">
        <v>54819.18</v>
      </c>
    </row>
    <row r="541" spans="1:8" ht="23.25" thickBot="1" x14ac:dyDescent="0.3">
      <c r="A541" s="134" t="s">
        <v>123</v>
      </c>
      <c r="B541" s="134" t="s">
        <v>25</v>
      </c>
      <c r="C541" s="139" t="s">
        <v>163</v>
      </c>
      <c r="D541" s="139" t="s">
        <v>164</v>
      </c>
      <c r="E541" s="134" t="s">
        <v>519</v>
      </c>
      <c r="F541" s="134" t="s">
        <v>518</v>
      </c>
      <c r="G541" s="136">
        <v>0</v>
      </c>
    </row>
    <row r="542" spans="1:8" ht="23.25" thickBot="1" x14ac:dyDescent="0.3">
      <c r="A542" s="134" t="s">
        <v>123</v>
      </c>
      <c r="B542" s="134" t="s">
        <v>25</v>
      </c>
      <c r="C542" s="139" t="s">
        <v>163</v>
      </c>
      <c r="D542" s="139" t="s">
        <v>164</v>
      </c>
      <c r="E542" s="134" t="s">
        <v>517</v>
      </c>
      <c r="F542" s="134" t="s">
        <v>516</v>
      </c>
      <c r="G542" s="135">
        <v>199525.9</v>
      </c>
    </row>
    <row r="543" spans="1:8" ht="23.25" thickBot="1" x14ac:dyDescent="0.3">
      <c r="A543" s="134" t="s">
        <v>123</v>
      </c>
      <c r="B543" s="134" t="s">
        <v>25</v>
      </c>
      <c r="C543" s="139" t="s">
        <v>163</v>
      </c>
      <c r="D543" s="139" t="s">
        <v>164</v>
      </c>
      <c r="E543" s="134" t="s">
        <v>515</v>
      </c>
      <c r="F543" s="134" t="s">
        <v>514</v>
      </c>
      <c r="G543" s="136">
        <v>7106314.21</v>
      </c>
      <c r="H543" s="218" t="s">
        <v>595</v>
      </c>
    </row>
    <row r="544" spans="1:8" ht="23.25" thickBot="1" x14ac:dyDescent="0.3">
      <c r="A544" s="134" t="s">
        <v>123</v>
      </c>
      <c r="B544" s="134" t="s">
        <v>25</v>
      </c>
      <c r="C544" s="139" t="s">
        <v>163</v>
      </c>
      <c r="D544" s="139" t="s">
        <v>164</v>
      </c>
      <c r="E544" s="134" t="s">
        <v>114</v>
      </c>
      <c r="F544" s="134" t="s">
        <v>189</v>
      </c>
      <c r="G544" s="135">
        <v>20438.560000000001</v>
      </c>
    </row>
    <row r="545" spans="1:8" ht="23.25" thickBot="1" x14ac:dyDescent="0.3">
      <c r="A545" s="134" t="s">
        <v>123</v>
      </c>
      <c r="B545" s="134" t="s">
        <v>25</v>
      </c>
      <c r="C545" s="139" t="s">
        <v>163</v>
      </c>
      <c r="D545" s="139" t="s">
        <v>164</v>
      </c>
      <c r="E545" s="134" t="s">
        <v>513</v>
      </c>
      <c r="F545" s="134" t="s">
        <v>512</v>
      </c>
      <c r="G545" s="136">
        <v>168704.57</v>
      </c>
    </row>
    <row r="546" spans="1:8" ht="23.25" thickBot="1" x14ac:dyDescent="0.3">
      <c r="A546" s="134" t="s">
        <v>123</v>
      </c>
      <c r="B546" s="134" t="s">
        <v>25</v>
      </c>
      <c r="C546" s="139" t="s">
        <v>163</v>
      </c>
      <c r="D546" s="139" t="s">
        <v>164</v>
      </c>
      <c r="E546" s="352" t="s">
        <v>64</v>
      </c>
      <c r="F546" s="353"/>
      <c r="G546" s="137">
        <v>37758941.469999999</v>
      </c>
    </row>
    <row r="547" spans="1:8" ht="15.75" thickBot="1" x14ac:dyDescent="0.3">
      <c r="A547" s="352" t="s">
        <v>104</v>
      </c>
      <c r="B547" s="354"/>
      <c r="C547" s="354"/>
      <c r="D547" s="354"/>
      <c r="E547" s="354"/>
      <c r="F547" s="353"/>
      <c r="G547" s="137">
        <v>37758941.469999999</v>
      </c>
    </row>
    <row r="549" spans="1:8" ht="15.75" thickBot="1" x14ac:dyDescent="0.3">
      <c r="A549" s="80" t="s">
        <v>544</v>
      </c>
    </row>
    <row r="550" spans="1:8" ht="15.75" thickBot="1" x14ac:dyDescent="0.3">
      <c r="A550" s="213"/>
      <c r="B550" s="140"/>
      <c r="C550" s="134" t="s">
        <v>95</v>
      </c>
    </row>
    <row r="551" spans="1:8" ht="15.75" thickBot="1" x14ac:dyDescent="0.3">
      <c r="A551" s="134" t="s">
        <v>94</v>
      </c>
      <c r="B551" s="141"/>
      <c r="C551" s="140" t="s">
        <v>91</v>
      </c>
    </row>
    <row r="552" spans="1:8" ht="15.75" thickBot="1" x14ac:dyDescent="0.3">
      <c r="A552" s="139" t="s">
        <v>543</v>
      </c>
      <c r="B552" s="139" t="s">
        <v>542</v>
      </c>
      <c r="C552" s="136">
        <v>10608619.41</v>
      </c>
    </row>
    <row r="553" spans="1:8" ht="15.75" thickBot="1" x14ac:dyDescent="0.3">
      <c r="A553" s="132" t="s">
        <v>541</v>
      </c>
      <c r="B553" s="133" t="s">
        <v>540</v>
      </c>
      <c r="C553" s="135">
        <v>6667989.9699999997</v>
      </c>
    </row>
    <row r="554" spans="1:8" ht="15.75" thickBot="1" x14ac:dyDescent="0.3">
      <c r="A554" s="132" t="s">
        <v>539</v>
      </c>
      <c r="B554" s="133" t="s">
        <v>538</v>
      </c>
      <c r="C554" s="136">
        <v>727050.33</v>
      </c>
    </row>
    <row r="555" spans="1:8" ht="15.75" thickBot="1" x14ac:dyDescent="0.3">
      <c r="A555" s="132" t="s">
        <v>537</v>
      </c>
      <c r="B555" s="133" t="s">
        <v>536</v>
      </c>
      <c r="C555" s="135">
        <v>302697.02</v>
      </c>
    </row>
    <row r="556" spans="1:8" ht="15.75" thickBot="1" x14ac:dyDescent="0.3">
      <c r="A556" s="132" t="s">
        <v>535</v>
      </c>
      <c r="B556" s="133" t="s">
        <v>534</v>
      </c>
      <c r="C556" s="136">
        <v>185070.36</v>
      </c>
    </row>
    <row r="557" spans="1:8" ht="15.75" thickBot="1" x14ac:dyDescent="0.3">
      <c r="A557" s="132" t="s">
        <v>533</v>
      </c>
      <c r="B557" s="133" t="s">
        <v>532</v>
      </c>
      <c r="C557" s="135">
        <v>2725811.73</v>
      </c>
    </row>
    <row r="558" spans="1:8" ht="15.75" thickBot="1" x14ac:dyDescent="0.3">
      <c r="H558" s="2">
        <f>+E560+C552</f>
        <v>13735925.41</v>
      </c>
    </row>
    <row r="559" spans="1:8" ht="23.25" thickBot="1" x14ac:dyDescent="0.3">
      <c r="A559" s="227" t="s">
        <v>545</v>
      </c>
      <c r="B559" s="214" t="s">
        <v>546</v>
      </c>
      <c r="C559" s="134" t="s">
        <v>547</v>
      </c>
      <c r="D559" s="134" t="s">
        <v>548</v>
      </c>
      <c r="E559" s="136">
        <v>3127306</v>
      </c>
    </row>
    <row r="560" spans="1:8" ht="15.75" thickBot="1" x14ac:dyDescent="0.3">
      <c r="A560" s="227" t="s">
        <v>545</v>
      </c>
      <c r="B560" s="214" t="s">
        <v>546</v>
      </c>
      <c r="C560" s="352" t="s">
        <v>64</v>
      </c>
      <c r="D560" s="353"/>
      <c r="E560" s="137">
        <v>3127306</v>
      </c>
    </row>
    <row r="562" spans="1:7" x14ac:dyDescent="0.25">
      <c r="A562" s="80" t="s">
        <v>581</v>
      </c>
    </row>
    <row r="563" spans="1:7" s="212" customFormat="1" ht="15.75" thickBot="1" x14ac:dyDescent="0.3">
      <c r="A563" s="80"/>
      <c r="D563" s="218"/>
      <c r="E563" s="142"/>
      <c r="F563" s="142"/>
      <c r="G563" s="142"/>
    </row>
    <row r="564" spans="1:7" ht="15.75" thickBot="1" x14ac:dyDescent="0.3">
      <c r="A564" s="347"/>
      <c r="B564" s="348"/>
      <c r="C564" s="349"/>
      <c r="D564" s="140"/>
      <c r="E564" s="134" t="s">
        <v>95</v>
      </c>
      <c r="F564" t="s">
        <v>583</v>
      </c>
      <c r="G564" t="s">
        <v>582</v>
      </c>
    </row>
    <row r="565" spans="1:7" ht="15.75" thickBot="1" x14ac:dyDescent="0.3">
      <c r="A565" s="350" t="s">
        <v>94</v>
      </c>
      <c r="B565" s="351"/>
      <c r="C565" s="134" t="s">
        <v>92</v>
      </c>
      <c r="D565" s="141"/>
      <c r="E565" s="140" t="s">
        <v>91</v>
      </c>
      <c r="F565">
        <f>1-G565</f>
        <v>0.24044844178768787</v>
      </c>
      <c r="G565" s="151">
        <v>0.75955155821231213</v>
      </c>
    </row>
    <row r="566" spans="1:7" ht="15.75" thickBot="1" x14ac:dyDescent="0.3">
      <c r="A566" s="139" t="s">
        <v>550</v>
      </c>
      <c r="B566" s="139" t="s">
        <v>549</v>
      </c>
      <c r="C566" s="134" t="s">
        <v>580</v>
      </c>
      <c r="D566" s="134" t="s">
        <v>579</v>
      </c>
      <c r="E566" s="136">
        <v>-3343.2</v>
      </c>
    </row>
    <row r="567" spans="1:7" ht="15.75" thickBot="1" x14ac:dyDescent="0.3">
      <c r="A567" s="139" t="s">
        <v>550</v>
      </c>
      <c r="B567" s="139" t="s">
        <v>549</v>
      </c>
      <c r="C567" s="134" t="s">
        <v>578</v>
      </c>
      <c r="D567" s="134" t="s">
        <v>577</v>
      </c>
      <c r="E567" s="135">
        <v>849</v>
      </c>
    </row>
    <row r="568" spans="1:7" ht="15.75" thickBot="1" x14ac:dyDescent="0.3">
      <c r="A568" s="139" t="s">
        <v>550</v>
      </c>
      <c r="B568" s="139" t="s">
        <v>549</v>
      </c>
      <c r="C568" s="134" t="s">
        <v>576</v>
      </c>
      <c r="D568" s="134" t="s">
        <v>575</v>
      </c>
      <c r="E568" s="136">
        <v>3166</v>
      </c>
    </row>
    <row r="569" spans="1:7" ht="15.75" thickBot="1" x14ac:dyDescent="0.3">
      <c r="A569" s="139" t="s">
        <v>550</v>
      </c>
      <c r="B569" s="139" t="s">
        <v>549</v>
      </c>
      <c r="C569" s="134" t="s">
        <v>574</v>
      </c>
      <c r="D569" s="134" t="s">
        <v>573</v>
      </c>
      <c r="E569" s="135">
        <v>1573104.71</v>
      </c>
    </row>
    <row r="570" spans="1:7" ht="15.75" thickBot="1" x14ac:dyDescent="0.3">
      <c r="A570" s="139" t="s">
        <v>550</v>
      </c>
      <c r="B570" s="139" t="s">
        <v>549</v>
      </c>
      <c r="C570" s="134" t="s">
        <v>572</v>
      </c>
      <c r="D570" s="134" t="s">
        <v>571</v>
      </c>
      <c r="E570" s="136">
        <v>60650.69</v>
      </c>
    </row>
    <row r="571" spans="1:7" ht="15.75" thickBot="1" x14ac:dyDescent="0.3">
      <c r="A571" s="139" t="s">
        <v>550</v>
      </c>
      <c r="B571" s="139" t="s">
        <v>549</v>
      </c>
      <c r="C571" s="134" t="s">
        <v>570</v>
      </c>
      <c r="D571" s="134" t="s">
        <v>569</v>
      </c>
      <c r="E571" s="135">
        <v>146</v>
      </c>
    </row>
    <row r="572" spans="1:7" ht="15.75" thickBot="1" x14ac:dyDescent="0.3">
      <c r="A572" s="139" t="s">
        <v>550</v>
      </c>
      <c r="B572" s="139" t="s">
        <v>549</v>
      </c>
      <c r="C572" s="134" t="s">
        <v>568</v>
      </c>
      <c r="D572" s="134" t="s">
        <v>567</v>
      </c>
      <c r="E572" s="136">
        <v>940</v>
      </c>
    </row>
    <row r="573" spans="1:7" ht="15.75" thickBot="1" x14ac:dyDescent="0.3">
      <c r="A573" s="139" t="s">
        <v>550</v>
      </c>
      <c r="B573" s="139" t="s">
        <v>549</v>
      </c>
      <c r="C573" s="134" t="s">
        <v>566</v>
      </c>
      <c r="D573" s="134" t="s">
        <v>565</v>
      </c>
      <c r="E573" s="135">
        <v>69.92</v>
      </c>
    </row>
    <row r="574" spans="1:7" ht="15.75" thickBot="1" x14ac:dyDescent="0.3">
      <c r="A574" s="139" t="s">
        <v>550</v>
      </c>
      <c r="B574" s="139" t="s">
        <v>549</v>
      </c>
      <c r="C574" s="134" t="s">
        <v>564</v>
      </c>
      <c r="D574" s="134" t="s">
        <v>563</v>
      </c>
      <c r="E574" s="136">
        <v>9127</v>
      </c>
    </row>
    <row r="575" spans="1:7" ht="15.75" thickBot="1" x14ac:dyDescent="0.3">
      <c r="A575" s="139" t="s">
        <v>550</v>
      </c>
      <c r="B575" s="139" t="s">
        <v>549</v>
      </c>
      <c r="C575" s="134" t="s">
        <v>562</v>
      </c>
      <c r="D575" s="134" t="s">
        <v>561</v>
      </c>
      <c r="E575" s="135">
        <v>224.16</v>
      </c>
    </row>
    <row r="576" spans="1:7" ht="15.75" thickBot="1" x14ac:dyDescent="0.3">
      <c r="A576" s="139" t="s">
        <v>550</v>
      </c>
      <c r="B576" s="139" t="s">
        <v>549</v>
      </c>
      <c r="C576" s="134" t="s">
        <v>560</v>
      </c>
      <c r="D576" s="134" t="s">
        <v>559</v>
      </c>
      <c r="E576" s="136">
        <v>1950</v>
      </c>
    </row>
    <row r="577" spans="1:14" ht="15.75" thickBot="1" x14ac:dyDescent="0.3">
      <c r="A577" s="139" t="s">
        <v>550</v>
      </c>
      <c r="B577" s="139" t="s">
        <v>549</v>
      </c>
      <c r="C577" s="134" t="s">
        <v>558</v>
      </c>
      <c r="D577" s="134" t="s">
        <v>557</v>
      </c>
      <c r="E577" s="135">
        <v>34.18</v>
      </c>
    </row>
    <row r="578" spans="1:14" ht="15.75" thickBot="1" x14ac:dyDescent="0.3">
      <c r="A578" s="139" t="s">
        <v>550</v>
      </c>
      <c r="B578" s="139" t="s">
        <v>549</v>
      </c>
      <c r="C578" s="134" t="s">
        <v>556</v>
      </c>
      <c r="D578" s="134" t="s">
        <v>555</v>
      </c>
      <c r="E578" s="136">
        <v>-2980</v>
      </c>
    </row>
    <row r="579" spans="1:14" ht="15.75" thickBot="1" x14ac:dyDescent="0.3">
      <c r="A579" s="139" t="s">
        <v>550</v>
      </c>
      <c r="B579" s="139" t="s">
        <v>549</v>
      </c>
      <c r="C579" s="134" t="s">
        <v>554</v>
      </c>
      <c r="D579" s="134" t="s">
        <v>553</v>
      </c>
      <c r="E579" s="135">
        <v>-12402</v>
      </c>
    </row>
    <row r="580" spans="1:14" ht="15.75" thickBot="1" x14ac:dyDescent="0.3">
      <c r="A580" s="139" t="s">
        <v>550</v>
      </c>
      <c r="B580" s="139" t="s">
        <v>549</v>
      </c>
      <c r="C580" s="134" t="s">
        <v>552</v>
      </c>
      <c r="D580" s="134" t="s">
        <v>551</v>
      </c>
      <c r="E580" s="136">
        <v>6000</v>
      </c>
    </row>
    <row r="581" spans="1:14" ht="15.75" thickBot="1" x14ac:dyDescent="0.3">
      <c r="A581" s="139" t="s">
        <v>550</v>
      </c>
      <c r="B581" s="139" t="s">
        <v>549</v>
      </c>
      <c r="C581" s="352" t="s">
        <v>64</v>
      </c>
      <c r="D581" s="353"/>
      <c r="E581" s="137">
        <v>1637536.46</v>
      </c>
      <c r="F581" s="2">
        <f>+G581-E581</f>
        <v>518388.89134036424</v>
      </c>
      <c r="G581" s="2">
        <f>+E581/G565</f>
        <v>2155925.3513403642</v>
      </c>
      <c r="K581" s="218"/>
      <c r="L581" s="218"/>
      <c r="M581" s="218"/>
      <c r="N581" s="218"/>
    </row>
    <row r="582" spans="1:14" x14ac:dyDescent="0.25">
      <c r="K582" s="142"/>
      <c r="L582" s="142"/>
      <c r="M582" s="142"/>
      <c r="N582" s="142"/>
    </row>
    <row r="583" spans="1:14" s="212" customFormat="1" x14ac:dyDescent="0.25">
      <c r="A583" s="80" t="s">
        <v>587</v>
      </c>
      <c r="D583" s="218"/>
      <c r="E583" s="218"/>
      <c r="K583" s="218" t="s">
        <v>747</v>
      </c>
      <c r="L583" s="236">
        <f>1+1.33/100</f>
        <v>1.0133000000000001</v>
      </c>
    </row>
    <row r="584" spans="1:14" s="218" customFormat="1" ht="15.75" thickBot="1" x14ac:dyDescent="0.3">
      <c r="A584" s="80"/>
      <c r="D584" s="230"/>
      <c r="E584" s="230"/>
      <c r="F584" s="230"/>
      <c r="K584" s="250" t="s">
        <v>932</v>
      </c>
      <c r="L584" s="250">
        <f>1+2.718/100</f>
        <v>1.02718</v>
      </c>
    </row>
    <row r="585" spans="1:14" ht="15.75" thickBot="1" x14ac:dyDescent="0.3">
      <c r="A585" s="213"/>
      <c r="B585" s="140"/>
      <c r="C585" s="134" t="s">
        <v>95</v>
      </c>
      <c r="D585" s="245" t="s">
        <v>583</v>
      </c>
      <c r="E585" s="245" t="s">
        <v>582</v>
      </c>
      <c r="K585" s="80">
        <v>2018</v>
      </c>
      <c r="L585" s="80">
        <v>2019</v>
      </c>
      <c r="M585" s="80"/>
    </row>
    <row r="586" spans="1:14" ht="15.75" thickBot="1" x14ac:dyDescent="0.3">
      <c r="A586" s="134" t="s">
        <v>94</v>
      </c>
      <c r="B586" s="141"/>
      <c r="C586" s="140" t="s">
        <v>91</v>
      </c>
      <c r="D586" s="245">
        <f>1-E586</f>
        <v>0.24044844178768787</v>
      </c>
      <c r="E586" s="151">
        <v>0.75955155821231213</v>
      </c>
      <c r="J586" t="s">
        <v>743</v>
      </c>
      <c r="K586" s="142">
        <v>57683.453261767143</v>
      </c>
      <c r="L586" s="142">
        <f>+K586*$L$583</f>
        <v>58450.64319014865</v>
      </c>
      <c r="M586" s="142"/>
    </row>
    <row r="587" spans="1:14" ht="15.75" thickBot="1" x14ac:dyDescent="0.3">
      <c r="A587" s="139" t="s">
        <v>586</v>
      </c>
      <c r="B587" s="139" t="s">
        <v>584</v>
      </c>
      <c r="C587" s="135">
        <v>6832176.0300000003</v>
      </c>
      <c r="J587" t="s">
        <v>744</v>
      </c>
      <c r="K587" s="142">
        <v>978637.23845410615</v>
      </c>
      <c r="L587" s="142">
        <f>+K587*$L$583</f>
        <v>991653.11372554582</v>
      </c>
      <c r="M587" s="142"/>
    </row>
    <row r="588" spans="1:14" ht="15.75" thickBot="1" x14ac:dyDescent="0.3">
      <c r="A588" s="132" t="s">
        <v>585</v>
      </c>
      <c r="B588" s="133" t="s">
        <v>584</v>
      </c>
      <c r="C588" s="136">
        <v>6832176.0300000003</v>
      </c>
      <c r="J588" s="235" t="s">
        <v>745</v>
      </c>
      <c r="K588" s="142">
        <v>1412244.6734972675</v>
      </c>
      <c r="L588" s="142">
        <f>+K588*$L$583</f>
        <v>1431027.5276547812</v>
      </c>
      <c r="M588" s="142"/>
    </row>
    <row r="589" spans="1:14" ht="15.75" thickBot="1" x14ac:dyDescent="0.3">
      <c r="A589" s="139" t="s">
        <v>723</v>
      </c>
      <c r="B589" s="139" t="s">
        <v>724</v>
      </c>
      <c r="C589" s="136">
        <f>+L586</f>
        <v>58450.64319014865</v>
      </c>
      <c r="J589" s="235" t="s">
        <v>746</v>
      </c>
      <c r="K589" s="142">
        <v>1758737.7585492225</v>
      </c>
      <c r="L589" s="142">
        <f>+K589*$L$583</f>
        <v>1782128.9707379274</v>
      </c>
      <c r="M589" s="142"/>
    </row>
    <row r="590" spans="1:14" s="234" customFormat="1" x14ac:dyDescent="0.25">
      <c r="A590" s="238" t="s">
        <v>725</v>
      </c>
      <c r="B590" s="238" t="s">
        <v>726</v>
      </c>
      <c r="C590" s="239">
        <f>+L587</f>
        <v>991653.11372554582</v>
      </c>
      <c r="J590" s="235"/>
      <c r="K590" s="142">
        <f>SUM(K586:K589)</f>
        <v>4207303.1237623636</v>
      </c>
      <c r="L590" s="142">
        <f>SUM(L586:L589)</f>
        <v>4263260.2553084036</v>
      </c>
      <c r="M590" s="142"/>
    </row>
    <row r="591" spans="1:14" s="236" customFormat="1" ht="15.75" thickBot="1" x14ac:dyDescent="0.3">
      <c r="A591" s="242"/>
      <c r="B591" s="242"/>
      <c r="C591" s="243">
        <f>+C589+C590</f>
        <v>1050103.7569156946</v>
      </c>
      <c r="J591" s="235"/>
      <c r="K591" s="142"/>
      <c r="L591" s="142"/>
    </row>
    <row r="592" spans="1:14" s="234" customFormat="1" ht="15.75" thickBot="1" x14ac:dyDescent="0.3">
      <c r="A592" s="240" t="s">
        <v>748</v>
      </c>
      <c r="B592" s="241" t="s">
        <v>749</v>
      </c>
      <c r="C592" s="135">
        <f>+L588</f>
        <v>1431027.5276547812</v>
      </c>
      <c r="J592" s="235"/>
    </row>
    <row r="593" spans="1:17" s="236" customFormat="1" ht="15.75" thickBot="1" x14ac:dyDescent="0.3">
      <c r="A593" s="228" t="s">
        <v>591</v>
      </c>
      <c r="B593" s="214" t="s">
        <v>592</v>
      </c>
      <c r="C593" s="136">
        <f>+L589</f>
        <v>1782128.9707379274</v>
      </c>
      <c r="J593" s="235"/>
    </row>
    <row r="594" spans="1:17" s="236" customFormat="1" ht="15.75" thickBot="1" x14ac:dyDescent="0.3">
      <c r="J594" s="235"/>
    </row>
    <row r="595" spans="1:17" s="212" customFormat="1" ht="23.25" thickBot="1" x14ac:dyDescent="0.3">
      <c r="A595" s="132" t="s">
        <v>54</v>
      </c>
      <c r="B595" s="133" t="s">
        <v>55</v>
      </c>
      <c r="C595" s="134" t="s">
        <v>593</v>
      </c>
      <c r="D595" s="134" t="s">
        <v>594</v>
      </c>
      <c r="E595" s="136">
        <v>127749.96</v>
      </c>
    </row>
    <row r="596" spans="1:17" s="212" customFormat="1" ht="15.75" thickBot="1" x14ac:dyDescent="0.3">
      <c r="A596" s="132" t="s">
        <v>54</v>
      </c>
      <c r="B596" s="133" t="s">
        <v>55</v>
      </c>
      <c r="C596" s="352" t="s">
        <v>64</v>
      </c>
      <c r="D596" s="353"/>
      <c r="E596" s="137">
        <v>127749.96</v>
      </c>
    </row>
    <row r="597" spans="1:17" s="212" customFormat="1" x14ac:dyDescent="0.25">
      <c r="L597" s="250"/>
      <c r="M597" s="250"/>
      <c r="N597" s="250"/>
      <c r="O597" s="250"/>
      <c r="P597" s="250"/>
      <c r="Q597" s="250"/>
    </row>
    <row r="598" spans="1:17" s="234" customFormat="1" x14ac:dyDescent="0.25">
      <c r="L598" s="250"/>
      <c r="M598" s="250"/>
      <c r="N598" s="250"/>
      <c r="O598" s="250"/>
      <c r="P598" s="250"/>
      <c r="Q598" s="250"/>
    </row>
    <row r="599" spans="1:17" s="234" customFormat="1" x14ac:dyDescent="0.25">
      <c r="L599" s="250"/>
      <c r="M599" s="250"/>
      <c r="N599" s="250"/>
      <c r="O599" s="250"/>
      <c r="P599" s="250"/>
      <c r="Q599" s="250"/>
    </row>
    <row r="600" spans="1:17" s="218" customFormat="1" ht="15.75" thickBot="1" x14ac:dyDescent="0.3">
      <c r="E600" s="2">
        <f>+C588+E596+C591+C592+C593</f>
        <v>11223186.245308403</v>
      </c>
      <c r="F600" s="2">
        <f>+G600-E600</f>
        <v>3552882.7706296351</v>
      </c>
      <c r="G600" s="231">
        <f>+(C588+E596+C591+C592+C593)/E586</f>
        <v>14776069.015938038</v>
      </c>
      <c r="L600" s="250"/>
      <c r="M600" s="250"/>
      <c r="N600" s="250"/>
      <c r="O600" s="250"/>
      <c r="P600" s="250"/>
      <c r="Q600" s="250"/>
    </row>
    <row r="601" spans="1:17" s="218" customFormat="1" x14ac:dyDescent="0.25"/>
    <row r="602" spans="1:17" s="218" customFormat="1" x14ac:dyDescent="0.25"/>
    <row r="603" spans="1:17" s="212" customFormat="1" x14ac:dyDescent="0.25">
      <c r="A603" s="80" t="s">
        <v>590</v>
      </c>
      <c r="B603" s="250"/>
      <c r="C603" s="250"/>
      <c r="D603" s="250"/>
      <c r="E603" s="250"/>
      <c r="F603" s="250"/>
      <c r="G603" s="250"/>
    </row>
    <row r="604" spans="1:17" ht="15.75" thickBot="1" x14ac:dyDescent="0.3">
      <c r="A604" s="250"/>
      <c r="B604" s="250"/>
      <c r="C604" s="250"/>
      <c r="D604" s="250" t="s">
        <v>583</v>
      </c>
      <c r="E604" s="250" t="s">
        <v>582</v>
      </c>
      <c r="F604" s="250"/>
      <c r="G604" s="250"/>
    </row>
    <row r="605" spans="1:17" ht="15.75" thickBot="1" x14ac:dyDescent="0.3">
      <c r="A605" s="213"/>
      <c r="B605" s="140"/>
      <c r="C605" s="134" t="s">
        <v>95</v>
      </c>
      <c r="D605" s="250">
        <f>1-E605</f>
        <v>0.24044844178768787</v>
      </c>
      <c r="E605" s="151">
        <v>0.75955155821231213</v>
      </c>
      <c r="F605" s="250"/>
      <c r="G605" s="250"/>
    </row>
    <row r="606" spans="1:17" ht="15.75" thickBot="1" x14ac:dyDescent="0.3">
      <c r="A606" s="134" t="s">
        <v>94</v>
      </c>
      <c r="B606" s="141"/>
      <c r="C606" s="140" t="s">
        <v>91</v>
      </c>
      <c r="D606" s="250"/>
      <c r="E606" s="250"/>
      <c r="F606" s="250"/>
      <c r="G606" s="250"/>
    </row>
    <row r="607" spans="1:17" ht="15.75" thickBot="1" x14ac:dyDescent="0.3">
      <c r="A607" s="139" t="s">
        <v>589</v>
      </c>
      <c r="B607" s="139" t="s">
        <v>588</v>
      </c>
      <c r="C607" s="136">
        <v>3596488.31</v>
      </c>
      <c r="D607" s="250"/>
      <c r="E607" s="250"/>
      <c r="F607" s="250"/>
      <c r="G607" s="250"/>
    </row>
    <row r="609" spans="1:12" s="218" customFormat="1" ht="15.75" thickBot="1" x14ac:dyDescent="0.3">
      <c r="A609" s="80" t="s">
        <v>651</v>
      </c>
      <c r="B609" s="250"/>
      <c r="C609" s="250"/>
      <c r="D609" s="250"/>
      <c r="E609" s="250"/>
      <c r="F609" s="250"/>
      <c r="G609" s="250"/>
      <c r="J609" s="250"/>
      <c r="K609" s="250"/>
      <c r="L609" s="250"/>
    </row>
    <row r="610" spans="1:12" ht="15.75" thickBot="1" x14ac:dyDescent="0.3">
      <c r="A610" s="347"/>
      <c r="B610" s="348"/>
      <c r="C610" s="349"/>
      <c r="D610" s="140"/>
      <c r="E610" s="134" t="s">
        <v>95</v>
      </c>
      <c r="F610" s="151" t="s">
        <v>96</v>
      </c>
      <c r="G610" s="250"/>
      <c r="J610" s="250"/>
      <c r="K610" s="250"/>
      <c r="L610" s="250"/>
    </row>
    <row r="611" spans="1:12" ht="15.75" thickBot="1" x14ac:dyDescent="0.3">
      <c r="A611" s="350" t="s">
        <v>105</v>
      </c>
      <c r="B611" s="351"/>
      <c r="C611" s="134" t="s">
        <v>94</v>
      </c>
      <c r="D611" s="141"/>
      <c r="E611" s="140" t="s">
        <v>91</v>
      </c>
      <c r="F611" s="250"/>
      <c r="G611" s="250"/>
      <c r="J611" s="250"/>
      <c r="K611" s="250"/>
      <c r="L611" s="250"/>
    </row>
    <row r="612" spans="1:12" ht="23.25" thickBot="1" x14ac:dyDescent="0.3">
      <c r="A612" s="134" t="s">
        <v>106</v>
      </c>
      <c r="B612" s="134" t="s">
        <v>107</v>
      </c>
      <c r="C612" s="139" t="s">
        <v>591</v>
      </c>
      <c r="D612" s="139" t="s">
        <v>592</v>
      </c>
      <c r="E612" s="136">
        <v>29532840.469999999</v>
      </c>
      <c r="F612" s="259">
        <f>+E612-E621</f>
        <v>1782128.9707379304</v>
      </c>
      <c r="G612" s="260"/>
      <c r="J612" s="250"/>
      <c r="K612" s="250"/>
      <c r="L612" s="250"/>
    </row>
    <row r="613" spans="1:12" ht="23.25" thickBot="1" x14ac:dyDescent="0.3">
      <c r="A613" s="134" t="s">
        <v>106</v>
      </c>
      <c r="B613" s="134" t="s">
        <v>107</v>
      </c>
      <c r="C613" s="132" t="s">
        <v>650</v>
      </c>
      <c r="D613" s="133" t="s">
        <v>649</v>
      </c>
      <c r="E613" s="135">
        <v>-300</v>
      </c>
      <c r="F613" s="250"/>
      <c r="G613" s="250"/>
      <c r="J613" s="250"/>
      <c r="K613" s="250"/>
      <c r="L613" s="250"/>
    </row>
    <row r="614" spans="1:12" ht="23.25" thickBot="1" x14ac:dyDescent="0.3">
      <c r="A614" s="134" t="s">
        <v>106</v>
      </c>
      <c r="B614" s="134" t="s">
        <v>107</v>
      </c>
      <c r="C614" s="132" t="s">
        <v>648</v>
      </c>
      <c r="D614" s="133" t="s">
        <v>647</v>
      </c>
      <c r="E614" s="136">
        <f>SUM(E615:E619)</f>
        <v>23660098.68926207</v>
      </c>
      <c r="F614" s="250"/>
      <c r="G614" s="250"/>
      <c r="J614" s="250"/>
      <c r="K614" s="250"/>
      <c r="L614" s="250"/>
    </row>
    <row r="615" spans="1:12" ht="23.25" thickBot="1" x14ac:dyDescent="0.3">
      <c r="A615" s="134" t="s">
        <v>106</v>
      </c>
      <c r="B615" s="134" t="s">
        <v>107</v>
      </c>
      <c r="C615" s="215" t="s">
        <v>646</v>
      </c>
      <c r="D615" s="214" t="s">
        <v>645</v>
      </c>
      <c r="E615" s="135">
        <f>16205877.07-1782128.97073793</f>
        <v>14423748.09926207</v>
      </c>
      <c r="F615" s="250"/>
      <c r="G615" s="250"/>
      <c r="J615" s="250"/>
      <c r="K615" s="250"/>
      <c r="L615" s="250"/>
    </row>
    <row r="616" spans="1:12" ht="23.25" thickBot="1" x14ac:dyDescent="0.3">
      <c r="A616" s="134" t="s">
        <v>106</v>
      </c>
      <c r="B616" s="134" t="s">
        <v>107</v>
      </c>
      <c r="C616" s="215" t="s">
        <v>644</v>
      </c>
      <c r="D616" s="214" t="s">
        <v>643</v>
      </c>
      <c r="E616" s="136">
        <v>3818109.04</v>
      </c>
      <c r="F616" s="2"/>
      <c r="G616" s="250"/>
      <c r="J616" s="250"/>
      <c r="K616" s="250"/>
      <c r="L616" s="250"/>
    </row>
    <row r="617" spans="1:12" ht="23.25" thickBot="1" x14ac:dyDescent="0.3">
      <c r="A617" s="134" t="s">
        <v>106</v>
      </c>
      <c r="B617" s="134" t="s">
        <v>107</v>
      </c>
      <c r="C617" s="215" t="s">
        <v>642</v>
      </c>
      <c r="D617" s="214" t="s">
        <v>641</v>
      </c>
      <c r="E617" s="135">
        <v>742515.55</v>
      </c>
      <c r="F617" s="250"/>
      <c r="G617" s="250"/>
      <c r="J617" s="250"/>
      <c r="K617" s="250"/>
      <c r="L617" s="250"/>
    </row>
    <row r="618" spans="1:12" ht="23.25" thickBot="1" x14ac:dyDescent="0.3">
      <c r="A618" s="134" t="s">
        <v>106</v>
      </c>
      <c r="B618" s="134" t="s">
        <v>107</v>
      </c>
      <c r="C618" s="215" t="s">
        <v>589</v>
      </c>
      <c r="D618" s="214" t="s">
        <v>588</v>
      </c>
      <c r="E618" s="136">
        <v>3596488.31</v>
      </c>
      <c r="F618" s="2">
        <f>+E618</f>
        <v>3596488.31</v>
      </c>
      <c r="G618" s="250" t="s">
        <v>712</v>
      </c>
      <c r="J618" s="250"/>
      <c r="K618" s="250"/>
      <c r="L618" s="250"/>
    </row>
    <row r="619" spans="1:12" ht="23.25" thickBot="1" x14ac:dyDescent="0.3">
      <c r="A619" s="134" t="s">
        <v>106</v>
      </c>
      <c r="B619" s="134" t="s">
        <v>107</v>
      </c>
      <c r="C619" s="215" t="s">
        <v>640</v>
      </c>
      <c r="D619" s="214" t="s">
        <v>639</v>
      </c>
      <c r="E619" s="135">
        <v>1079237.69</v>
      </c>
      <c r="F619" s="250"/>
      <c r="G619" s="250"/>
      <c r="J619" s="250"/>
      <c r="K619" s="250"/>
      <c r="L619" s="250"/>
    </row>
    <row r="620" spans="1:12" ht="23.25" thickBot="1" x14ac:dyDescent="0.3">
      <c r="A620" s="134" t="s">
        <v>106</v>
      </c>
      <c r="B620" s="134" t="s">
        <v>107</v>
      </c>
      <c r="C620" s="132" t="s">
        <v>638</v>
      </c>
      <c r="D620" s="133" t="s">
        <v>637</v>
      </c>
      <c r="E620" s="136">
        <v>4090912.81</v>
      </c>
      <c r="F620" s="250"/>
      <c r="G620" s="250"/>
      <c r="J620" s="250"/>
      <c r="K620" s="250"/>
      <c r="L620" s="250"/>
    </row>
    <row r="621" spans="1:12" ht="15.75" thickBot="1" x14ac:dyDescent="0.3">
      <c r="A621" s="352" t="s">
        <v>104</v>
      </c>
      <c r="B621" s="354"/>
      <c r="C621" s="354"/>
      <c r="D621" s="353"/>
      <c r="E621" s="137">
        <f>+E620+E614+E613</f>
        <v>27750711.499262068</v>
      </c>
      <c r="F621" s="2">
        <f>+(E621-E618)*0.1</f>
        <v>2415422.3189262073</v>
      </c>
      <c r="G621" s="250" t="s">
        <v>713</v>
      </c>
    </row>
    <row r="622" spans="1:12" x14ac:dyDescent="0.25">
      <c r="A622" s="250"/>
      <c r="B622" s="250"/>
      <c r="C622" s="250"/>
      <c r="D622" s="244" t="s">
        <v>750</v>
      </c>
      <c r="E622" s="237">
        <f>+L589</f>
        <v>1782128.9707379274</v>
      </c>
      <c r="F622" s="250"/>
      <c r="G622" s="250"/>
    </row>
    <row r="624" spans="1:12" x14ac:dyDescent="0.25">
      <c r="A624" s="250"/>
      <c r="B624" s="250"/>
      <c r="C624" s="250"/>
      <c r="D624" s="250" t="s">
        <v>652</v>
      </c>
      <c r="E624" s="2">
        <f>+F618+F621</f>
        <v>6011910.6289262073</v>
      </c>
      <c r="F624" s="142">
        <f>+E624/E626*F626</f>
        <v>1903168.4251881684</v>
      </c>
      <c r="G624" s="2">
        <f>+F624+E624</f>
        <v>7915079.0541143753</v>
      </c>
    </row>
    <row r="625" spans="1:7" x14ac:dyDescent="0.25">
      <c r="A625" s="250"/>
      <c r="B625" s="250"/>
      <c r="C625" s="250"/>
      <c r="D625" s="250" t="s">
        <v>653</v>
      </c>
      <c r="E625" s="2">
        <f>+E621-F618-F621</f>
        <v>21738800.870335862</v>
      </c>
      <c r="F625" s="142">
        <f>+E625/E626*F626</f>
        <v>6881772.1971468963</v>
      </c>
      <c r="G625" s="2">
        <f>+F625+E625</f>
        <v>28620573.067482758</v>
      </c>
    </row>
    <row r="626" spans="1:7" ht="15.75" thickBot="1" x14ac:dyDescent="0.3">
      <c r="A626" s="250"/>
      <c r="B626" s="250"/>
      <c r="C626" s="250"/>
      <c r="D626" s="250"/>
      <c r="E626" s="231">
        <f>SUM(E624:E625)</f>
        <v>27750711.499262068</v>
      </c>
      <c r="F626" s="231">
        <f>+G626-E626</f>
        <v>8784940.6223350652</v>
      </c>
      <c r="G626" s="231">
        <f>+E626/E605</f>
        <v>36535652.121597134</v>
      </c>
    </row>
    <row r="630" spans="1:7" ht="15.75" thickBot="1" x14ac:dyDescent="0.3">
      <c r="A630" s="80" t="s">
        <v>661</v>
      </c>
      <c r="B630" s="250"/>
      <c r="C630" s="250"/>
      <c r="D630" s="250"/>
      <c r="E630" s="250"/>
      <c r="F630" s="250"/>
      <c r="G630" s="250"/>
    </row>
    <row r="631" spans="1:7" ht="15.75" thickBot="1" x14ac:dyDescent="0.3">
      <c r="A631" s="347"/>
      <c r="B631" s="348"/>
      <c r="C631" s="349"/>
      <c r="D631" s="140"/>
      <c r="E631" s="134" t="s">
        <v>95</v>
      </c>
      <c r="F631" s="250"/>
      <c r="G631" s="250"/>
    </row>
    <row r="632" spans="1:7" ht="15.75" thickBot="1" x14ac:dyDescent="0.3">
      <c r="A632" s="350" t="s">
        <v>94</v>
      </c>
      <c r="B632" s="351"/>
      <c r="C632" s="134" t="s">
        <v>228</v>
      </c>
      <c r="D632" s="141"/>
      <c r="E632" s="140" t="s">
        <v>91</v>
      </c>
      <c r="F632" s="250"/>
      <c r="G632" s="250"/>
    </row>
    <row r="633" spans="1:7" ht="23.25" thickBot="1" x14ac:dyDescent="0.3">
      <c r="A633" s="139" t="s">
        <v>660</v>
      </c>
      <c r="B633" s="139" t="s">
        <v>659</v>
      </c>
      <c r="C633" s="134" t="s">
        <v>658</v>
      </c>
      <c r="D633" s="134" t="s">
        <v>657</v>
      </c>
      <c r="E633" s="136">
        <v>2444374.63</v>
      </c>
      <c r="F633" s="250"/>
      <c r="G633" s="250"/>
    </row>
    <row r="634" spans="1:7" ht="15.75" thickBot="1" x14ac:dyDescent="0.3">
      <c r="A634" s="139" t="s">
        <v>660</v>
      </c>
      <c r="B634" s="139" t="s">
        <v>659</v>
      </c>
      <c r="C634" s="352" t="s">
        <v>64</v>
      </c>
      <c r="D634" s="353"/>
      <c r="E634" s="137">
        <v>2444374.63</v>
      </c>
      <c r="F634" s="250"/>
      <c r="G634" s="250"/>
    </row>
    <row r="635" spans="1:7" ht="23.25" thickBot="1" x14ac:dyDescent="0.3">
      <c r="A635" s="132" t="s">
        <v>656</v>
      </c>
      <c r="B635" s="133" t="s">
        <v>655</v>
      </c>
      <c r="C635" s="134" t="s">
        <v>658</v>
      </c>
      <c r="D635" s="134" t="s">
        <v>657</v>
      </c>
      <c r="E635" s="136">
        <v>2444374.63</v>
      </c>
    </row>
    <row r="636" spans="1:7" ht="15.75" thickBot="1" x14ac:dyDescent="0.3">
      <c r="A636" s="132" t="s">
        <v>656</v>
      </c>
      <c r="B636" s="133" t="s">
        <v>655</v>
      </c>
      <c r="C636" s="352" t="s">
        <v>64</v>
      </c>
      <c r="D636" s="353"/>
      <c r="E636" s="137">
        <v>2444374.63</v>
      </c>
    </row>
    <row r="638" spans="1:7" x14ac:dyDescent="0.25">
      <c r="A638" s="80" t="s">
        <v>668</v>
      </c>
    </row>
    <row r="639" spans="1:7" s="218" customFormat="1" x14ac:dyDescent="0.25">
      <c r="A639" s="80"/>
    </row>
    <row r="640" spans="1:7" s="218" customFormat="1" ht="15.75" thickBot="1" x14ac:dyDescent="0.3">
      <c r="A640" s="80"/>
      <c r="F640" s="230"/>
    </row>
    <row r="641" spans="1:10" ht="15.75" thickBot="1" x14ac:dyDescent="0.3">
      <c r="A641" s="213"/>
      <c r="B641" s="140"/>
      <c r="C641" s="134" t="s">
        <v>95</v>
      </c>
      <c r="D641" s="218" t="s">
        <v>582</v>
      </c>
      <c r="E641" s="218" t="s">
        <v>583</v>
      </c>
    </row>
    <row r="642" spans="1:10" ht="15.75" thickBot="1" x14ac:dyDescent="0.3">
      <c r="A642" s="134" t="s">
        <v>94</v>
      </c>
      <c r="B642" s="141"/>
      <c r="C642" s="140" t="s">
        <v>91</v>
      </c>
      <c r="D642" s="151">
        <v>0.80452313256373509</v>
      </c>
      <c r="E642" s="218">
        <f>1-D642</f>
        <v>0.19547686743626491</v>
      </c>
      <c r="I642" s="245"/>
      <c r="J642" s="245"/>
    </row>
    <row r="643" spans="1:10" ht="15.75" thickBot="1" x14ac:dyDescent="0.3">
      <c r="A643" s="139" t="s">
        <v>667</v>
      </c>
      <c r="B643" s="139" t="s">
        <v>666</v>
      </c>
      <c r="C643" s="136">
        <f>SUM(C644:C646)</f>
        <v>4770214.6500000004</v>
      </c>
      <c r="E643" s="2">
        <f>+F643-C643</f>
        <v>1159030.2118587103</v>
      </c>
      <c r="F643" s="142">
        <f>+C643/D642</f>
        <v>5929244.8618587106</v>
      </c>
    </row>
    <row r="644" spans="1:10" ht="15.75" thickBot="1" x14ac:dyDescent="0.3">
      <c r="A644" s="132" t="s">
        <v>665</v>
      </c>
      <c r="B644" s="133" t="s">
        <v>664</v>
      </c>
      <c r="C644" s="135">
        <v>1565.55</v>
      </c>
    </row>
    <row r="645" spans="1:10" ht="15.75" thickBot="1" x14ac:dyDescent="0.3">
      <c r="A645" s="132" t="s">
        <v>663</v>
      </c>
      <c r="B645" s="133" t="s">
        <v>662</v>
      </c>
      <c r="C645" s="136">
        <v>4769506.1900000004</v>
      </c>
    </row>
    <row r="646" spans="1:10" ht="15.75" thickBot="1" x14ac:dyDescent="0.3">
      <c r="A646" s="134" t="s">
        <v>481</v>
      </c>
      <c r="B646" s="134" t="s">
        <v>482</v>
      </c>
      <c r="C646" s="136">
        <v>-857.09</v>
      </c>
    </row>
    <row r="648" spans="1:10" ht="15.75" thickBot="1" x14ac:dyDescent="0.3">
      <c r="A648" s="80" t="s">
        <v>669</v>
      </c>
    </row>
    <row r="649" spans="1:10" ht="15.75" thickBot="1" x14ac:dyDescent="0.3">
      <c r="A649" s="347"/>
      <c r="B649" s="348"/>
      <c r="C649" s="349"/>
      <c r="D649" s="140"/>
      <c r="E649" s="134" t="s">
        <v>95</v>
      </c>
    </row>
    <row r="650" spans="1:10" ht="15.75" thickBot="1" x14ac:dyDescent="0.3">
      <c r="A650" s="350" t="s">
        <v>94</v>
      </c>
      <c r="B650" s="351"/>
      <c r="C650" s="134" t="s">
        <v>228</v>
      </c>
      <c r="D650" s="141"/>
      <c r="E650" s="140" t="s">
        <v>91</v>
      </c>
    </row>
    <row r="651" spans="1:10" ht="23.25" thickBot="1" x14ac:dyDescent="0.3">
      <c r="A651" s="139" t="s">
        <v>90</v>
      </c>
      <c r="B651" s="139" t="s">
        <v>89</v>
      </c>
      <c r="C651" s="134" t="s">
        <v>670</v>
      </c>
      <c r="D651" s="134" t="s">
        <v>669</v>
      </c>
      <c r="E651" s="136">
        <v>350116.49</v>
      </c>
    </row>
    <row r="652" spans="1:10" ht="15.75" thickBot="1" x14ac:dyDescent="0.3">
      <c r="A652" s="139" t="s">
        <v>90</v>
      </c>
      <c r="B652" s="139" t="s">
        <v>89</v>
      </c>
      <c r="C652" s="352" t="s">
        <v>64</v>
      </c>
      <c r="D652" s="353"/>
      <c r="E652" s="137">
        <v>350116.49</v>
      </c>
    </row>
    <row r="655" spans="1:10" ht="15.75" thickBot="1" x14ac:dyDescent="0.3">
      <c r="A655" s="80" t="s">
        <v>709</v>
      </c>
    </row>
    <row r="656" spans="1:10" ht="15.75" thickBot="1" x14ac:dyDescent="0.3">
      <c r="A656" s="347"/>
      <c r="B656" s="348"/>
      <c r="C656" s="348"/>
      <c r="D656" s="348"/>
      <c r="E656" s="348"/>
      <c r="F656" s="348"/>
      <c r="G656" s="348"/>
      <c r="H656" s="349"/>
      <c r="I656" s="140"/>
      <c r="J656" s="134" t="s">
        <v>95</v>
      </c>
    </row>
    <row r="657" spans="1:10" ht="15.75" thickBot="1" x14ac:dyDescent="0.3">
      <c r="A657" s="350" t="s">
        <v>94</v>
      </c>
      <c r="B657" s="351"/>
      <c r="C657" s="350" t="s">
        <v>105</v>
      </c>
      <c r="D657" s="351"/>
      <c r="E657" s="134" t="s">
        <v>188</v>
      </c>
      <c r="F657" s="350" t="s">
        <v>92</v>
      </c>
      <c r="G657" s="351"/>
      <c r="H657" s="134" t="s">
        <v>209</v>
      </c>
      <c r="I657" s="141"/>
      <c r="J657" s="140" t="s">
        <v>91</v>
      </c>
    </row>
    <row r="658" spans="1:10" ht="23.25" thickBot="1" x14ac:dyDescent="0.3">
      <c r="A658" s="139" t="s">
        <v>90</v>
      </c>
      <c r="B658" s="139" t="s">
        <v>89</v>
      </c>
      <c r="C658" s="134" t="s">
        <v>106</v>
      </c>
      <c r="D658" s="134" t="s">
        <v>107</v>
      </c>
      <c r="E658" s="134" t="s">
        <v>530</v>
      </c>
      <c r="F658" s="134" t="s">
        <v>671</v>
      </c>
      <c r="G658" s="134" t="s">
        <v>672</v>
      </c>
      <c r="H658" s="134" t="s">
        <v>230</v>
      </c>
      <c r="I658" s="134" t="s">
        <v>231</v>
      </c>
      <c r="J658" s="136">
        <v>1100626.02</v>
      </c>
    </row>
    <row r="659" spans="1:10" ht="34.5" thickBot="1" x14ac:dyDescent="0.3">
      <c r="A659" s="139" t="s">
        <v>90</v>
      </c>
      <c r="B659" s="139" t="s">
        <v>89</v>
      </c>
      <c r="C659" s="134" t="s">
        <v>106</v>
      </c>
      <c r="D659" s="134" t="s">
        <v>107</v>
      </c>
      <c r="E659" s="134" t="s">
        <v>518</v>
      </c>
      <c r="F659" s="134" t="s">
        <v>673</v>
      </c>
      <c r="G659" s="134" t="s">
        <v>674</v>
      </c>
      <c r="H659" s="134" t="s">
        <v>675</v>
      </c>
      <c r="I659" s="134" t="s">
        <v>676</v>
      </c>
      <c r="J659" s="135">
        <v>686791.81</v>
      </c>
    </row>
    <row r="660" spans="1:10" ht="23.25" thickBot="1" x14ac:dyDescent="0.3">
      <c r="A660" s="139" t="s">
        <v>90</v>
      </c>
      <c r="B660" s="139" t="s">
        <v>89</v>
      </c>
      <c r="C660" s="134" t="s">
        <v>106</v>
      </c>
      <c r="D660" s="134" t="s">
        <v>107</v>
      </c>
      <c r="E660" s="134" t="s">
        <v>518</v>
      </c>
      <c r="F660" s="134" t="s">
        <v>673</v>
      </c>
      <c r="G660" s="134" t="s">
        <v>677</v>
      </c>
      <c r="H660" s="134" t="s">
        <v>230</v>
      </c>
      <c r="I660" s="134" t="s">
        <v>231</v>
      </c>
      <c r="J660" s="136">
        <v>1727184</v>
      </c>
    </row>
    <row r="661" spans="1:10" ht="34.5" thickBot="1" x14ac:dyDescent="0.3">
      <c r="A661" s="139" t="s">
        <v>90</v>
      </c>
      <c r="B661" s="139" t="s">
        <v>89</v>
      </c>
      <c r="C661" s="134" t="s">
        <v>106</v>
      </c>
      <c r="D661" s="134" t="s">
        <v>107</v>
      </c>
      <c r="E661" s="134" t="s">
        <v>518</v>
      </c>
      <c r="F661" s="134" t="s">
        <v>673</v>
      </c>
      <c r="G661" s="134" t="s">
        <v>677</v>
      </c>
      <c r="H661" s="134" t="s">
        <v>675</v>
      </c>
      <c r="I661" s="134" t="s">
        <v>676</v>
      </c>
      <c r="J661" s="135">
        <v>24016.18</v>
      </c>
    </row>
    <row r="662" spans="1:10" ht="23.25" thickBot="1" x14ac:dyDescent="0.3">
      <c r="A662" s="139" t="s">
        <v>90</v>
      </c>
      <c r="B662" s="139" t="s">
        <v>89</v>
      </c>
      <c r="C662" s="134" t="s">
        <v>106</v>
      </c>
      <c r="D662" s="134" t="s">
        <v>107</v>
      </c>
      <c r="E662" s="134" t="s">
        <v>514</v>
      </c>
      <c r="F662" s="134" t="s">
        <v>678</v>
      </c>
      <c r="G662" s="134" t="s">
        <v>679</v>
      </c>
      <c r="H662" s="134" t="s">
        <v>381</v>
      </c>
      <c r="I662" s="134" t="s">
        <v>380</v>
      </c>
      <c r="J662" s="136">
        <v>200</v>
      </c>
    </row>
    <row r="663" spans="1:10" ht="34.5" thickBot="1" x14ac:dyDescent="0.3">
      <c r="A663" s="139" t="s">
        <v>90</v>
      </c>
      <c r="B663" s="139" t="s">
        <v>89</v>
      </c>
      <c r="C663" s="134" t="s">
        <v>106</v>
      </c>
      <c r="D663" s="134" t="s">
        <v>107</v>
      </c>
      <c r="E663" s="134" t="s">
        <v>680</v>
      </c>
      <c r="F663" s="134" t="s">
        <v>681</v>
      </c>
      <c r="G663" s="134" t="s">
        <v>682</v>
      </c>
      <c r="H663" s="134" t="s">
        <v>683</v>
      </c>
      <c r="I663" s="134" t="s">
        <v>684</v>
      </c>
      <c r="J663" s="135">
        <v>475701</v>
      </c>
    </row>
    <row r="664" spans="1:10" ht="23.25" thickBot="1" x14ac:dyDescent="0.3">
      <c r="A664" s="139" t="s">
        <v>90</v>
      </c>
      <c r="B664" s="139" t="s">
        <v>89</v>
      </c>
      <c r="C664" s="134" t="s">
        <v>106</v>
      </c>
      <c r="D664" s="134" t="s">
        <v>107</v>
      </c>
      <c r="E664" s="134" t="s">
        <v>680</v>
      </c>
      <c r="F664" s="134" t="s">
        <v>681</v>
      </c>
      <c r="G664" s="134" t="s">
        <v>682</v>
      </c>
      <c r="H664" s="134" t="s">
        <v>685</v>
      </c>
      <c r="I664" s="134" t="s">
        <v>686</v>
      </c>
      <c r="J664" s="136">
        <v>100196.03</v>
      </c>
    </row>
    <row r="665" spans="1:10" ht="23.25" thickBot="1" x14ac:dyDescent="0.3">
      <c r="A665" s="139" t="s">
        <v>90</v>
      </c>
      <c r="B665" s="139" t="s">
        <v>89</v>
      </c>
      <c r="C665" s="134" t="s">
        <v>106</v>
      </c>
      <c r="D665" s="134" t="s">
        <v>107</v>
      </c>
      <c r="E665" s="134" t="s">
        <v>680</v>
      </c>
      <c r="F665" s="134" t="s">
        <v>687</v>
      </c>
      <c r="G665" s="134" t="s">
        <v>688</v>
      </c>
      <c r="H665" s="134" t="s">
        <v>381</v>
      </c>
      <c r="I665" s="134" t="s">
        <v>380</v>
      </c>
      <c r="J665" s="135">
        <v>26153</v>
      </c>
    </row>
    <row r="666" spans="1:10" ht="23.25" thickBot="1" x14ac:dyDescent="0.3">
      <c r="A666" s="139" t="s">
        <v>90</v>
      </c>
      <c r="B666" s="139" t="s">
        <v>89</v>
      </c>
      <c r="C666" s="134" t="s">
        <v>106</v>
      </c>
      <c r="D666" s="134" t="s">
        <v>107</v>
      </c>
      <c r="E666" s="134" t="s">
        <v>526</v>
      </c>
      <c r="F666" s="134" t="s">
        <v>689</v>
      </c>
      <c r="G666" s="134" t="s">
        <v>690</v>
      </c>
      <c r="H666" s="134" t="s">
        <v>230</v>
      </c>
      <c r="I666" s="134" t="s">
        <v>231</v>
      </c>
      <c r="J666" s="136">
        <v>0</v>
      </c>
    </row>
    <row r="667" spans="1:10" ht="23.25" thickBot="1" x14ac:dyDescent="0.3">
      <c r="A667" s="139" t="s">
        <v>90</v>
      </c>
      <c r="B667" s="139" t="s">
        <v>89</v>
      </c>
      <c r="C667" s="134" t="s">
        <v>106</v>
      </c>
      <c r="D667" s="134" t="s">
        <v>107</v>
      </c>
      <c r="E667" s="352" t="s">
        <v>64</v>
      </c>
      <c r="F667" s="354"/>
      <c r="G667" s="354"/>
      <c r="H667" s="354"/>
      <c r="I667" s="353"/>
      <c r="J667" s="137">
        <v>4140868.04</v>
      </c>
    </row>
    <row r="668" spans="1:10" ht="23.25" thickBot="1" x14ac:dyDescent="0.3">
      <c r="A668" s="139" t="s">
        <v>90</v>
      </c>
      <c r="B668" s="139" t="s">
        <v>89</v>
      </c>
      <c r="C668" s="134" t="s">
        <v>116</v>
      </c>
      <c r="D668" s="134" t="s">
        <v>26</v>
      </c>
      <c r="E668" s="134" t="s">
        <v>518</v>
      </c>
      <c r="F668" s="134" t="s">
        <v>673</v>
      </c>
      <c r="G668" s="134" t="s">
        <v>677</v>
      </c>
      <c r="H668" s="134" t="s">
        <v>230</v>
      </c>
      <c r="I668" s="134" t="s">
        <v>231</v>
      </c>
      <c r="J668" s="136">
        <v>416881</v>
      </c>
    </row>
    <row r="669" spans="1:10" ht="23.25" thickBot="1" x14ac:dyDescent="0.3">
      <c r="A669" s="139" t="s">
        <v>90</v>
      </c>
      <c r="B669" s="139" t="s">
        <v>89</v>
      </c>
      <c r="C669" s="134" t="s">
        <v>116</v>
      </c>
      <c r="D669" s="134" t="s">
        <v>26</v>
      </c>
      <c r="E669" s="134" t="s">
        <v>518</v>
      </c>
      <c r="F669" s="134" t="s">
        <v>673</v>
      </c>
      <c r="G669" s="134" t="s">
        <v>677</v>
      </c>
      <c r="H669" s="134" t="s">
        <v>381</v>
      </c>
      <c r="I669" s="134" t="s">
        <v>380</v>
      </c>
      <c r="J669" s="135">
        <v>1349.95</v>
      </c>
    </row>
    <row r="670" spans="1:10" ht="34.5" thickBot="1" x14ac:dyDescent="0.3">
      <c r="A670" s="139" t="s">
        <v>90</v>
      </c>
      <c r="B670" s="139" t="s">
        <v>89</v>
      </c>
      <c r="C670" s="134" t="s">
        <v>116</v>
      </c>
      <c r="D670" s="134" t="s">
        <v>26</v>
      </c>
      <c r="E670" s="134" t="s">
        <v>518</v>
      </c>
      <c r="F670" s="134" t="s">
        <v>673</v>
      </c>
      <c r="G670" s="134" t="s">
        <v>677</v>
      </c>
      <c r="H670" s="134" t="s">
        <v>675</v>
      </c>
      <c r="I670" s="134" t="s">
        <v>676</v>
      </c>
      <c r="J670" s="136">
        <v>48177.52</v>
      </c>
    </row>
    <row r="671" spans="1:10" ht="23.25" thickBot="1" x14ac:dyDescent="0.3">
      <c r="A671" s="139" t="s">
        <v>90</v>
      </c>
      <c r="B671" s="139" t="s">
        <v>89</v>
      </c>
      <c r="C671" s="134" t="s">
        <v>116</v>
      </c>
      <c r="D671" s="134" t="s">
        <v>26</v>
      </c>
      <c r="E671" s="134" t="s">
        <v>514</v>
      </c>
      <c r="F671" s="134" t="s">
        <v>678</v>
      </c>
      <c r="G671" s="134" t="s">
        <v>679</v>
      </c>
      <c r="H671" s="134" t="s">
        <v>381</v>
      </c>
      <c r="I671" s="134" t="s">
        <v>380</v>
      </c>
      <c r="J671" s="135">
        <v>1800</v>
      </c>
    </row>
    <row r="672" spans="1:10" ht="23.25" thickBot="1" x14ac:dyDescent="0.3">
      <c r="A672" s="139" t="s">
        <v>90</v>
      </c>
      <c r="B672" s="139" t="s">
        <v>89</v>
      </c>
      <c r="C672" s="134" t="s">
        <v>116</v>
      </c>
      <c r="D672" s="134" t="s">
        <v>26</v>
      </c>
      <c r="E672" s="134" t="s">
        <v>691</v>
      </c>
      <c r="F672" s="134" t="s">
        <v>692</v>
      </c>
      <c r="G672" s="134" t="s">
        <v>693</v>
      </c>
      <c r="H672" s="134" t="s">
        <v>685</v>
      </c>
      <c r="I672" s="134" t="s">
        <v>686</v>
      </c>
      <c r="J672" s="136">
        <v>129069</v>
      </c>
    </row>
    <row r="673" spans="1:10" ht="34.5" thickBot="1" x14ac:dyDescent="0.3">
      <c r="A673" s="139" t="s">
        <v>90</v>
      </c>
      <c r="B673" s="139" t="s">
        <v>89</v>
      </c>
      <c r="C673" s="134" t="s">
        <v>116</v>
      </c>
      <c r="D673" s="134" t="s">
        <v>26</v>
      </c>
      <c r="E673" s="134" t="s">
        <v>680</v>
      </c>
      <c r="F673" s="134" t="s">
        <v>681</v>
      </c>
      <c r="G673" s="134" t="s">
        <v>694</v>
      </c>
      <c r="H673" s="134" t="s">
        <v>695</v>
      </c>
      <c r="I673" s="134" t="s">
        <v>696</v>
      </c>
      <c r="J673" s="135">
        <v>0</v>
      </c>
    </row>
    <row r="674" spans="1:10" ht="23.25" thickBot="1" x14ac:dyDescent="0.3">
      <c r="A674" s="139" t="s">
        <v>90</v>
      </c>
      <c r="B674" s="139" t="s">
        <v>89</v>
      </c>
      <c r="C674" s="134" t="s">
        <v>116</v>
      </c>
      <c r="D674" s="134" t="s">
        <v>26</v>
      </c>
      <c r="E674" s="134" t="s">
        <v>526</v>
      </c>
      <c r="F674" s="134" t="s">
        <v>689</v>
      </c>
      <c r="G674" s="134" t="s">
        <v>690</v>
      </c>
      <c r="H674" s="134" t="s">
        <v>697</v>
      </c>
      <c r="I674" s="134" t="s">
        <v>698</v>
      </c>
      <c r="J674" s="136">
        <v>150</v>
      </c>
    </row>
    <row r="675" spans="1:10" ht="15.75" thickBot="1" x14ac:dyDescent="0.3">
      <c r="A675" s="139" t="s">
        <v>90</v>
      </c>
      <c r="B675" s="139" t="s">
        <v>89</v>
      </c>
      <c r="C675" s="134" t="s">
        <v>116</v>
      </c>
      <c r="D675" s="134" t="s">
        <v>26</v>
      </c>
      <c r="E675" s="352" t="s">
        <v>64</v>
      </c>
      <c r="F675" s="354"/>
      <c r="G675" s="354"/>
      <c r="H675" s="354"/>
      <c r="I675" s="353"/>
      <c r="J675" s="137">
        <v>597427.47</v>
      </c>
    </row>
    <row r="676" spans="1:10" ht="34.5" thickBot="1" x14ac:dyDescent="0.3">
      <c r="A676" s="139" t="s">
        <v>90</v>
      </c>
      <c r="B676" s="139" t="s">
        <v>89</v>
      </c>
      <c r="C676" s="134" t="s">
        <v>219</v>
      </c>
      <c r="D676" s="134" t="s">
        <v>220</v>
      </c>
      <c r="E676" s="134" t="s">
        <v>518</v>
      </c>
      <c r="F676" s="134" t="s">
        <v>673</v>
      </c>
      <c r="G676" s="134" t="s">
        <v>677</v>
      </c>
      <c r="H676" s="134" t="s">
        <v>675</v>
      </c>
      <c r="I676" s="134" t="s">
        <v>676</v>
      </c>
      <c r="J676" s="136">
        <v>1483.75</v>
      </c>
    </row>
    <row r="677" spans="1:10" ht="23.25" thickBot="1" x14ac:dyDescent="0.3">
      <c r="A677" s="139" t="s">
        <v>90</v>
      </c>
      <c r="B677" s="139" t="s">
        <v>89</v>
      </c>
      <c r="C677" s="134" t="s">
        <v>219</v>
      </c>
      <c r="D677" s="134" t="s">
        <v>220</v>
      </c>
      <c r="E677" s="352" t="s">
        <v>64</v>
      </c>
      <c r="F677" s="354"/>
      <c r="G677" s="354"/>
      <c r="H677" s="354"/>
      <c r="I677" s="353"/>
      <c r="J677" s="137">
        <v>1483.75</v>
      </c>
    </row>
    <row r="678" spans="1:10" ht="23.25" thickBot="1" x14ac:dyDescent="0.3">
      <c r="A678" s="139" t="s">
        <v>90</v>
      </c>
      <c r="B678" s="139" t="s">
        <v>89</v>
      </c>
      <c r="C678" s="134" t="s">
        <v>121</v>
      </c>
      <c r="D678" s="134" t="s">
        <v>122</v>
      </c>
      <c r="E678" s="134" t="s">
        <v>530</v>
      </c>
      <c r="F678" s="134" t="s">
        <v>671</v>
      </c>
      <c r="G678" s="134" t="s">
        <v>672</v>
      </c>
      <c r="H678" s="134" t="s">
        <v>230</v>
      </c>
      <c r="I678" s="134" t="s">
        <v>231</v>
      </c>
      <c r="J678" s="136">
        <v>1910755.75</v>
      </c>
    </row>
    <row r="679" spans="1:10" ht="23.25" thickBot="1" x14ac:dyDescent="0.3">
      <c r="A679" s="139" t="s">
        <v>90</v>
      </c>
      <c r="B679" s="139" t="s">
        <v>89</v>
      </c>
      <c r="C679" s="134" t="s">
        <v>121</v>
      </c>
      <c r="D679" s="134" t="s">
        <v>122</v>
      </c>
      <c r="E679" s="134" t="s">
        <v>530</v>
      </c>
      <c r="F679" s="134" t="s">
        <v>671</v>
      </c>
      <c r="G679" s="134" t="s">
        <v>672</v>
      </c>
      <c r="H679" s="134" t="s">
        <v>685</v>
      </c>
      <c r="I679" s="134" t="s">
        <v>686</v>
      </c>
      <c r="J679" s="135">
        <v>-1612.7</v>
      </c>
    </row>
    <row r="680" spans="1:10" ht="23.25" thickBot="1" x14ac:dyDescent="0.3">
      <c r="A680" s="139" t="s">
        <v>90</v>
      </c>
      <c r="B680" s="139" t="s">
        <v>89</v>
      </c>
      <c r="C680" s="134" t="s">
        <v>121</v>
      </c>
      <c r="D680" s="134" t="s">
        <v>122</v>
      </c>
      <c r="E680" s="134" t="s">
        <v>518</v>
      </c>
      <c r="F680" s="134" t="s">
        <v>673</v>
      </c>
      <c r="G680" s="134" t="s">
        <v>677</v>
      </c>
      <c r="H680" s="134" t="s">
        <v>230</v>
      </c>
      <c r="I680" s="134" t="s">
        <v>231</v>
      </c>
      <c r="J680" s="136">
        <v>151130</v>
      </c>
    </row>
    <row r="681" spans="1:10" ht="34.5" thickBot="1" x14ac:dyDescent="0.3">
      <c r="A681" s="139" t="s">
        <v>90</v>
      </c>
      <c r="B681" s="139" t="s">
        <v>89</v>
      </c>
      <c r="C681" s="134" t="s">
        <v>121</v>
      </c>
      <c r="D681" s="134" t="s">
        <v>122</v>
      </c>
      <c r="E681" s="134" t="s">
        <v>518</v>
      </c>
      <c r="F681" s="134" t="s">
        <v>673</v>
      </c>
      <c r="G681" s="134" t="s">
        <v>677</v>
      </c>
      <c r="H681" s="134" t="s">
        <v>675</v>
      </c>
      <c r="I681" s="134" t="s">
        <v>676</v>
      </c>
      <c r="J681" s="135">
        <v>1151432.03</v>
      </c>
    </row>
    <row r="682" spans="1:10" ht="23.25" thickBot="1" x14ac:dyDescent="0.3">
      <c r="A682" s="139" t="s">
        <v>90</v>
      </c>
      <c r="B682" s="139" t="s">
        <v>89</v>
      </c>
      <c r="C682" s="134" t="s">
        <v>121</v>
      </c>
      <c r="D682" s="134" t="s">
        <v>122</v>
      </c>
      <c r="E682" s="134" t="s">
        <v>514</v>
      </c>
      <c r="F682" s="134" t="s">
        <v>678</v>
      </c>
      <c r="G682" s="134" t="s">
        <v>679</v>
      </c>
      <c r="H682" s="134" t="s">
        <v>381</v>
      </c>
      <c r="I682" s="134" t="s">
        <v>380</v>
      </c>
      <c r="J682" s="136">
        <v>79835.199999999997</v>
      </c>
    </row>
    <row r="683" spans="1:10" ht="15.75" thickBot="1" x14ac:dyDescent="0.3">
      <c r="A683" s="139" t="s">
        <v>90</v>
      </c>
      <c r="B683" s="139" t="s">
        <v>89</v>
      </c>
      <c r="C683" s="134" t="s">
        <v>121</v>
      </c>
      <c r="D683" s="134" t="s">
        <v>122</v>
      </c>
      <c r="E683" s="134" t="s">
        <v>680</v>
      </c>
      <c r="F683" s="134" t="s">
        <v>681</v>
      </c>
      <c r="G683" s="134" t="s">
        <v>682</v>
      </c>
      <c r="H683" s="134" t="s">
        <v>685</v>
      </c>
      <c r="I683" s="134" t="s">
        <v>686</v>
      </c>
      <c r="J683" s="135">
        <v>38000</v>
      </c>
    </row>
    <row r="684" spans="1:10" ht="23.25" thickBot="1" x14ac:dyDescent="0.3">
      <c r="A684" s="139" t="s">
        <v>90</v>
      </c>
      <c r="B684" s="139" t="s">
        <v>89</v>
      </c>
      <c r="C684" s="134" t="s">
        <v>121</v>
      </c>
      <c r="D684" s="134" t="s">
        <v>122</v>
      </c>
      <c r="E684" s="134" t="s">
        <v>680</v>
      </c>
      <c r="F684" s="134" t="s">
        <v>681</v>
      </c>
      <c r="G684" s="134" t="s">
        <v>682</v>
      </c>
      <c r="H684" s="134" t="s">
        <v>699</v>
      </c>
      <c r="I684" s="134" t="s">
        <v>700</v>
      </c>
      <c r="J684" s="136">
        <v>10344</v>
      </c>
    </row>
    <row r="685" spans="1:10" ht="23.25" thickBot="1" x14ac:dyDescent="0.3">
      <c r="A685" s="139" t="s">
        <v>90</v>
      </c>
      <c r="B685" s="139" t="s">
        <v>89</v>
      </c>
      <c r="C685" s="134" t="s">
        <v>121</v>
      </c>
      <c r="D685" s="134" t="s">
        <v>122</v>
      </c>
      <c r="E685" s="134" t="s">
        <v>680</v>
      </c>
      <c r="F685" s="134" t="s">
        <v>681</v>
      </c>
      <c r="G685" s="134" t="s">
        <v>694</v>
      </c>
      <c r="H685" s="134" t="s">
        <v>381</v>
      </c>
      <c r="I685" s="134" t="s">
        <v>380</v>
      </c>
      <c r="J685" s="135">
        <v>1500</v>
      </c>
    </row>
    <row r="686" spans="1:10" ht="23.25" thickBot="1" x14ac:dyDescent="0.3">
      <c r="A686" s="139" t="s">
        <v>90</v>
      </c>
      <c r="B686" s="139" t="s">
        <v>89</v>
      </c>
      <c r="C686" s="134" t="s">
        <v>121</v>
      </c>
      <c r="D686" s="134" t="s">
        <v>122</v>
      </c>
      <c r="E686" s="134" t="s">
        <v>680</v>
      </c>
      <c r="F686" s="134" t="s">
        <v>687</v>
      </c>
      <c r="G686" s="134" t="s">
        <v>688</v>
      </c>
      <c r="H686" s="134" t="s">
        <v>381</v>
      </c>
      <c r="I686" s="134" t="s">
        <v>380</v>
      </c>
      <c r="J686" s="136">
        <v>31951</v>
      </c>
    </row>
    <row r="687" spans="1:10" ht="23.25" thickBot="1" x14ac:dyDescent="0.3">
      <c r="A687" s="139" t="s">
        <v>90</v>
      </c>
      <c r="B687" s="139" t="s">
        <v>89</v>
      </c>
      <c r="C687" s="134" t="s">
        <v>121</v>
      </c>
      <c r="D687" s="134" t="s">
        <v>122</v>
      </c>
      <c r="E687" s="134" t="s">
        <v>526</v>
      </c>
      <c r="F687" s="134" t="s">
        <v>689</v>
      </c>
      <c r="G687" s="134" t="s">
        <v>690</v>
      </c>
      <c r="H687" s="134" t="s">
        <v>697</v>
      </c>
      <c r="I687" s="134" t="s">
        <v>698</v>
      </c>
      <c r="J687" s="135">
        <v>33579</v>
      </c>
    </row>
    <row r="688" spans="1:10" ht="45.75" thickBot="1" x14ac:dyDescent="0.3">
      <c r="A688" s="139" t="s">
        <v>90</v>
      </c>
      <c r="B688" s="139" t="s">
        <v>89</v>
      </c>
      <c r="C688" s="134" t="s">
        <v>121</v>
      </c>
      <c r="D688" s="134" t="s">
        <v>122</v>
      </c>
      <c r="E688" s="134" t="s">
        <v>526</v>
      </c>
      <c r="F688" s="134" t="s">
        <v>689</v>
      </c>
      <c r="G688" s="134" t="s">
        <v>690</v>
      </c>
      <c r="H688" s="134" t="s">
        <v>701</v>
      </c>
      <c r="I688" s="134" t="s">
        <v>702</v>
      </c>
      <c r="J688" s="136">
        <v>10590</v>
      </c>
    </row>
    <row r="689" spans="1:11" ht="15.75" thickBot="1" x14ac:dyDescent="0.3">
      <c r="A689" s="139" t="s">
        <v>90</v>
      </c>
      <c r="B689" s="139" t="s">
        <v>89</v>
      </c>
      <c r="C689" s="134" t="s">
        <v>121</v>
      </c>
      <c r="D689" s="134" t="s">
        <v>122</v>
      </c>
      <c r="E689" s="352" t="s">
        <v>64</v>
      </c>
      <c r="F689" s="354"/>
      <c r="G689" s="354"/>
      <c r="H689" s="354"/>
      <c r="I689" s="353"/>
      <c r="J689" s="137">
        <v>3417504.28</v>
      </c>
    </row>
    <row r="690" spans="1:11" ht="23.25" thickBot="1" x14ac:dyDescent="0.3">
      <c r="A690" s="139" t="s">
        <v>90</v>
      </c>
      <c r="B690" s="139" t="s">
        <v>89</v>
      </c>
      <c r="C690" s="134" t="s">
        <v>123</v>
      </c>
      <c r="D690" s="134" t="s">
        <v>25</v>
      </c>
      <c r="E690" s="134" t="s">
        <v>530</v>
      </c>
      <c r="F690" s="134" t="s">
        <v>671</v>
      </c>
      <c r="G690" s="134" t="s">
        <v>672</v>
      </c>
      <c r="H690" s="134" t="s">
        <v>230</v>
      </c>
      <c r="I690" s="134" t="s">
        <v>231</v>
      </c>
      <c r="J690" s="136">
        <v>1102354.52</v>
      </c>
    </row>
    <row r="691" spans="1:11" ht="34.5" thickBot="1" x14ac:dyDescent="0.3">
      <c r="A691" s="139" t="s">
        <v>90</v>
      </c>
      <c r="B691" s="139" t="s">
        <v>89</v>
      </c>
      <c r="C691" s="134" t="s">
        <v>123</v>
      </c>
      <c r="D691" s="134" t="s">
        <v>25</v>
      </c>
      <c r="E691" s="134" t="s">
        <v>518</v>
      </c>
      <c r="F691" s="134" t="s">
        <v>673</v>
      </c>
      <c r="G691" s="134" t="s">
        <v>674</v>
      </c>
      <c r="H691" s="134" t="s">
        <v>683</v>
      </c>
      <c r="I691" s="134" t="s">
        <v>684</v>
      </c>
      <c r="J691" s="135">
        <v>0</v>
      </c>
    </row>
    <row r="692" spans="1:11" ht="34.5" thickBot="1" x14ac:dyDescent="0.3">
      <c r="A692" s="139" t="s">
        <v>90</v>
      </c>
      <c r="B692" s="139" t="s">
        <v>89</v>
      </c>
      <c r="C692" s="134" t="s">
        <v>123</v>
      </c>
      <c r="D692" s="134" t="s">
        <v>25</v>
      </c>
      <c r="E692" s="134" t="s">
        <v>518</v>
      </c>
      <c r="F692" s="134" t="s">
        <v>673</v>
      </c>
      <c r="G692" s="134" t="s">
        <v>674</v>
      </c>
      <c r="H692" s="134" t="s">
        <v>675</v>
      </c>
      <c r="I692" s="134" t="s">
        <v>676</v>
      </c>
      <c r="J692" s="136">
        <v>1303976</v>
      </c>
    </row>
    <row r="693" spans="1:11" ht="23.25" thickBot="1" x14ac:dyDescent="0.3">
      <c r="A693" s="139" t="s">
        <v>90</v>
      </c>
      <c r="B693" s="139" t="s">
        <v>89</v>
      </c>
      <c r="C693" s="134" t="s">
        <v>123</v>
      </c>
      <c r="D693" s="134" t="s">
        <v>25</v>
      </c>
      <c r="E693" s="134" t="s">
        <v>518</v>
      </c>
      <c r="F693" s="134" t="s">
        <v>673</v>
      </c>
      <c r="G693" s="134" t="s">
        <v>677</v>
      </c>
      <c r="H693" s="134" t="s">
        <v>230</v>
      </c>
      <c r="I693" s="134" t="s">
        <v>231</v>
      </c>
      <c r="J693" s="135">
        <v>1484000</v>
      </c>
    </row>
    <row r="694" spans="1:11" ht="23.25" thickBot="1" x14ac:dyDescent="0.3">
      <c r="A694" s="139" t="s">
        <v>90</v>
      </c>
      <c r="B694" s="139" t="s">
        <v>89</v>
      </c>
      <c r="C694" s="134" t="s">
        <v>123</v>
      </c>
      <c r="D694" s="134" t="s">
        <v>25</v>
      </c>
      <c r="E694" s="134" t="s">
        <v>514</v>
      </c>
      <c r="F694" s="134" t="s">
        <v>678</v>
      </c>
      <c r="G694" s="134" t="s">
        <v>679</v>
      </c>
      <c r="H694" s="134" t="s">
        <v>381</v>
      </c>
      <c r="I694" s="134" t="s">
        <v>380</v>
      </c>
      <c r="J694" s="136">
        <v>200</v>
      </c>
    </row>
    <row r="695" spans="1:11" ht="23.25" thickBot="1" x14ac:dyDescent="0.3">
      <c r="A695" s="139" t="s">
        <v>90</v>
      </c>
      <c r="B695" s="139" t="s">
        <v>89</v>
      </c>
      <c r="C695" s="134" t="s">
        <v>123</v>
      </c>
      <c r="D695" s="134" t="s">
        <v>25</v>
      </c>
      <c r="E695" s="134" t="s">
        <v>691</v>
      </c>
      <c r="F695" s="134" t="s">
        <v>692</v>
      </c>
      <c r="G695" s="134" t="s">
        <v>693</v>
      </c>
      <c r="H695" s="134" t="s">
        <v>685</v>
      </c>
      <c r="I695" s="134" t="s">
        <v>686</v>
      </c>
      <c r="J695" s="135">
        <v>35445.69</v>
      </c>
    </row>
    <row r="696" spans="1:11" ht="23.25" thickBot="1" x14ac:dyDescent="0.3">
      <c r="A696" s="139" t="s">
        <v>90</v>
      </c>
      <c r="B696" s="139" t="s">
        <v>89</v>
      </c>
      <c r="C696" s="134" t="s">
        <v>123</v>
      </c>
      <c r="D696" s="134" t="s">
        <v>25</v>
      </c>
      <c r="E696" s="134" t="s">
        <v>526</v>
      </c>
      <c r="F696" s="134" t="s">
        <v>689</v>
      </c>
      <c r="G696" s="134" t="s">
        <v>690</v>
      </c>
      <c r="H696" s="134" t="s">
        <v>230</v>
      </c>
      <c r="I696" s="134" t="s">
        <v>231</v>
      </c>
      <c r="J696" s="136">
        <v>18448.259999999998</v>
      </c>
    </row>
    <row r="697" spans="1:11" ht="23.25" thickBot="1" x14ac:dyDescent="0.3">
      <c r="A697" s="139" t="s">
        <v>90</v>
      </c>
      <c r="B697" s="139" t="s">
        <v>89</v>
      </c>
      <c r="C697" s="134" t="s">
        <v>123</v>
      </c>
      <c r="D697" s="134" t="s">
        <v>25</v>
      </c>
      <c r="E697" s="134" t="s">
        <v>526</v>
      </c>
      <c r="F697" s="134" t="s">
        <v>689</v>
      </c>
      <c r="G697" s="134" t="s">
        <v>690</v>
      </c>
      <c r="H697" s="134" t="s">
        <v>697</v>
      </c>
      <c r="I697" s="134" t="s">
        <v>698</v>
      </c>
      <c r="J697" s="135">
        <v>13020</v>
      </c>
    </row>
    <row r="698" spans="1:11" ht="15.75" thickBot="1" x14ac:dyDescent="0.3">
      <c r="A698" s="139" t="s">
        <v>90</v>
      </c>
      <c r="B698" s="139" t="s">
        <v>89</v>
      </c>
      <c r="C698" s="134" t="s">
        <v>123</v>
      </c>
      <c r="D698" s="134" t="s">
        <v>25</v>
      </c>
      <c r="E698" s="134" t="s">
        <v>524</v>
      </c>
      <c r="F698" s="134" t="s">
        <v>703</v>
      </c>
      <c r="G698" s="134" t="s">
        <v>704</v>
      </c>
      <c r="H698" s="134" t="s">
        <v>230</v>
      </c>
      <c r="I698" s="134" t="s">
        <v>231</v>
      </c>
      <c r="J698" s="136">
        <v>153354.65</v>
      </c>
    </row>
    <row r="699" spans="1:11" ht="15.75" thickBot="1" x14ac:dyDescent="0.3">
      <c r="A699" s="139" t="s">
        <v>90</v>
      </c>
      <c r="B699" s="139" t="s">
        <v>89</v>
      </c>
      <c r="C699" s="134" t="s">
        <v>123</v>
      </c>
      <c r="D699" s="134" t="s">
        <v>25</v>
      </c>
      <c r="E699" s="134" t="s">
        <v>524</v>
      </c>
      <c r="F699" s="134" t="s">
        <v>703</v>
      </c>
      <c r="G699" s="134" t="s">
        <v>704</v>
      </c>
      <c r="H699" s="134" t="s">
        <v>685</v>
      </c>
      <c r="I699" s="134" t="s">
        <v>686</v>
      </c>
      <c r="J699" s="135">
        <v>13181</v>
      </c>
      <c r="K699" s="216" t="s">
        <v>164</v>
      </c>
    </row>
    <row r="700" spans="1:11" ht="15.75" thickBot="1" x14ac:dyDescent="0.3">
      <c r="A700" s="139" t="s">
        <v>90</v>
      </c>
      <c r="B700" s="139" t="s">
        <v>89</v>
      </c>
      <c r="C700" s="134" t="s">
        <v>123</v>
      </c>
      <c r="D700" s="134" t="s">
        <v>25</v>
      </c>
      <c r="E700" s="352" t="s">
        <v>64</v>
      </c>
      <c r="F700" s="354"/>
      <c r="G700" s="354"/>
      <c r="H700" s="354"/>
      <c r="I700" s="353"/>
      <c r="J700" s="137">
        <v>4123980.12</v>
      </c>
      <c r="K700" s="2">
        <f>+J745</f>
        <v>211477.02</v>
      </c>
    </row>
    <row r="701" spans="1:11" ht="23.25" thickBot="1" x14ac:dyDescent="0.3">
      <c r="A701" s="139" t="s">
        <v>90</v>
      </c>
      <c r="B701" s="139" t="s">
        <v>89</v>
      </c>
      <c r="C701" s="134" t="s">
        <v>131</v>
      </c>
      <c r="D701" s="134" t="s">
        <v>132</v>
      </c>
      <c r="E701" s="134" t="s">
        <v>530</v>
      </c>
      <c r="F701" s="134" t="s">
        <v>671</v>
      </c>
      <c r="G701" s="134" t="s">
        <v>672</v>
      </c>
      <c r="H701" s="134" t="s">
        <v>230</v>
      </c>
      <c r="I701" s="134" t="s">
        <v>231</v>
      </c>
      <c r="J701" s="135">
        <v>1426955.35</v>
      </c>
    </row>
    <row r="702" spans="1:11" ht="34.5" thickBot="1" x14ac:dyDescent="0.3">
      <c r="A702" s="139" t="s">
        <v>90</v>
      </c>
      <c r="B702" s="139" t="s">
        <v>89</v>
      </c>
      <c r="C702" s="134" t="s">
        <v>131</v>
      </c>
      <c r="D702" s="134" t="s">
        <v>132</v>
      </c>
      <c r="E702" s="134" t="s">
        <v>530</v>
      </c>
      <c r="F702" s="134" t="s">
        <v>671</v>
      </c>
      <c r="G702" s="134" t="s">
        <v>672</v>
      </c>
      <c r="H702" s="134" t="s">
        <v>683</v>
      </c>
      <c r="I702" s="134" t="s">
        <v>684</v>
      </c>
      <c r="J702" s="136">
        <v>744909</v>
      </c>
    </row>
    <row r="703" spans="1:11" ht="23.25" thickBot="1" x14ac:dyDescent="0.3">
      <c r="A703" s="139" t="s">
        <v>90</v>
      </c>
      <c r="B703" s="139" t="s">
        <v>89</v>
      </c>
      <c r="C703" s="134" t="s">
        <v>131</v>
      </c>
      <c r="D703" s="134" t="s">
        <v>132</v>
      </c>
      <c r="E703" s="134" t="s">
        <v>518</v>
      </c>
      <c r="F703" s="134" t="s">
        <v>673</v>
      </c>
      <c r="G703" s="134" t="s">
        <v>677</v>
      </c>
      <c r="H703" s="134" t="s">
        <v>230</v>
      </c>
      <c r="I703" s="134" t="s">
        <v>231</v>
      </c>
      <c r="J703" s="135">
        <v>770186</v>
      </c>
    </row>
    <row r="704" spans="1:11" ht="23.25" thickBot="1" x14ac:dyDescent="0.3">
      <c r="A704" s="139" t="s">
        <v>90</v>
      </c>
      <c r="B704" s="139" t="s">
        <v>89</v>
      </c>
      <c r="C704" s="134" t="s">
        <v>131</v>
      </c>
      <c r="D704" s="134" t="s">
        <v>132</v>
      </c>
      <c r="E704" s="134" t="s">
        <v>518</v>
      </c>
      <c r="F704" s="134" t="s">
        <v>673</v>
      </c>
      <c r="G704" s="134" t="s">
        <v>677</v>
      </c>
      <c r="H704" s="134" t="s">
        <v>685</v>
      </c>
      <c r="I704" s="134" t="s">
        <v>686</v>
      </c>
      <c r="J704" s="136">
        <v>56408.2</v>
      </c>
    </row>
    <row r="705" spans="1:10" ht="34.5" thickBot="1" x14ac:dyDescent="0.3">
      <c r="A705" s="139" t="s">
        <v>90</v>
      </c>
      <c r="B705" s="139" t="s">
        <v>89</v>
      </c>
      <c r="C705" s="134" t="s">
        <v>131</v>
      </c>
      <c r="D705" s="134" t="s">
        <v>132</v>
      </c>
      <c r="E705" s="134" t="s">
        <v>518</v>
      </c>
      <c r="F705" s="134" t="s">
        <v>673</v>
      </c>
      <c r="G705" s="134" t="s">
        <v>677</v>
      </c>
      <c r="H705" s="134" t="s">
        <v>675</v>
      </c>
      <c r="I705" s="134" t="s">
        <v>676</v>
      </c>
      <c r="J705" s="135">
        <v>896223.69</v>
      </c>
    </row>
    <row r="706" spans="1:10" ht="23.25" thickBot="1" x14ac:dyDescent="0.3">
      <c r="A706" s="139" t="s">
        <v>90</v>
      </c>
      <c r="B706" s="139" t="s">
        <v>89</v>
      </c>
      <c r="C706" s="134" t="s">
        <v>131</v>
      </c>
      <c r="D706" s="134" t="s">
        <v>132</v>
      </c>
      <c r="E706" s="134" t="s">
        <v>514</v>
      </c>
      <c r="F706" s="134" t="s">
        <v>678</v>
      </c>
      <c r="G706" s="134" t="s">
        <v>679</v>
      </c>
      <c r="H706" s="134" t="s">
        <v>381</v>
      </c>
      <c r="I706" s="134" t="s">
        <v>380</v>
      </c>
      <c r="J706" s="136">
        <v>4800</v>
      </c>
    </row>
    <row r="707" spans="1:10" ht="23.25" thickBot="1" x14ac:dyDescent="0.3">
      <c r="A707" s="139" t="s">
        <v>90</v>
      </c>
      <c r="B707" s="139" t="s">
        <v>89</v>
      </c>
      <c r="C707" s="134" t="s">
        <v>131</v>
      </c>
      <c r="D707" s="134" t="s">
        <v>132</v>
      </c>
      <c r="E707" s="134" t="s">
        <v>680</v>
      </c>
      <c r="F707" s="134" t="s">
        <v>687</v>
      </c>
      <c r="G707" s="134" t="s">
        <v>688</v>
      </c>
      <c r="H707" s="134" t="s">
        <v>685</v>
      </c>
      <c r="I707" s="134" t="s">
        <v>686</v>
      </c>
      <c r="J707" s="135">
        <v>8608</v>
      </c>
    </row>
    <row r="708" spans="1:10" ht="23.25" thickBot="1" x14ac:dyDescent="0.3">
      <c r="A708" s="139" t="s">
        <v>90</v>
      </c>
      <c r="B708" s="139" t="s">
        <v>89</v>
      </c>
      <c r="C708" s="134" t="s">
        <v>131</v>
      </c>
      <c r="D708" s="134" t="s">
        <v>132</v>
      </c>
      <c r="E708" s="134" t="s">
        <v>680</v>
      </c>
      <c r="F708" s="134" t="s">
        <v>687</v>
      </c>
      <c r="G708" s="134" t="s">
        <v>688</v>
      </c>
      <c r="H708" s="134" t="s">
        <v>381</v>
      </c>
      <c r="I708" s="134" t="s">
        <v>380</v>
      </c>
      <c r="J708" s="136">
        <v>10493.95</v>
      </c>
    </row>
    <row r="709" spans="1:10" ht="23.25" thickBot="1" x14ac:dyDescent="0.3">
      <c r="A709" s="139" t="s">
        <v>90</v>
      </c>
      <c r="B709" s="139" t="s">
        <v>89</v>
      </c>
      <c r="C709" s="134" t="s">
        <v>131</v>
      </c>
      <c r="D709" s="134" t="s">
        <v>132</v>
      </c>
      <c r="E709" s="134" t="s">
        <v>526</v>
      </c>
      <c r="F709" s="134" t="s">
        <v>689</v>
      </c>
      <c r="G709" s="134" t="s">
        <v>690</v>
      </c>
      <c r="H709" s="134" t="s">
        <v>697</v>
      </c>
      <c r="I709" s="134" t="s">
        <v>698</v>
      </c>
      <c r="J709" s="135">
        <v>19260</v>
      </c>
    </row>
    <row r="710" spans="1:10" ht="23.25" thickBot="1" x14ac:dyDescent="0.3">
      <c r="A710" s="139" t="s">
        <v>90</v>
      </c>
      <c r="B710" s="139" t="s">
        <v>89</v>
      </c>
      <c r="C710" s="134" t="s">
        <v>131</v>
      </c>
      <c r="D710" s="134" t="s">
        <v>132</v>
      </c>
      <c r="E710" s="352" t="s">
        <v>64</v>
      </c>
      <c r="F710" s="354"/>
      <c r="G710" s="354"/>
      <c r="H710" s="354"/>
      <c r="I710" s="353"/>
      <c r="J710" s="137">
        <v>3937844.19</v>
      </c>
    </row>
    <row r="711" spans="1:10" ht="23.25" thickBot="1" x14ac:dyDescent="0.3">
      <c r="A711" s="139" t="s">
        <v>90</v>
      </c>
      <c r="B711" s="139" t="s">
        <v>89</v>
      </c>
      <c r="C711" s="134" t="s">
        <v>139</v>
      </c>
      <c r="D711" s="134" t="s">
        <v>24</v>
      </c>
      <c r="E711" s="134" t="s">
        <v>530</v>
      </c>
      <c r="F711" s="134" t="s">
        <v>671</v>
      </c>
      <c r="G711" s="134" t="s">
        <v>672</v>
      </c>
      <c r="H711" s="134" t="s">
        <v>685</v>
      </c>
      <c r="I711" s="134" t="s">
        <v>686</v>
      </c>
      <c r="J711" s="135">
        <v>-253.75</v>
      </c>
    </row>
    <row r="712" spans="1:10" ht="23.25" thickBot="1" x14ac:dyDescent="0.3">
      <c r="A712" s="139" t="s">
        <v>90</v>
      </c>
      <c r="B712" s="139" t="s">
        <v>89</v>
      </c>
      <c r="C712" s="134" t="s">
        <v>139</v>
      </c>
      <c r="D712" s="134" t="s">
        <v>24</v>
      </c>
      <c r="E712" s="134" t="s">
        <v>518</v>
      </c>
      <c r="F712" s="134" t="s">
        <v>673</v>
      </c>
      <c r="G712" s="134" t="s">
        <v>677</v>
      </c>
      <c r="H712" s="134" t="s">
        <v>230</v>
      </c>
      <c r="I712" s="134" t="s">
        <v>231</v>
      </c>
      <c r="J712" s="136">
        <v>1502669</v>
      </c>
    </row>
    <row r="713" spans="1:10" ht="34.5" thickBot="1" x14ac:dyDescent="0.3">
      <c r="A713" s="139" t="s">
        <v>90</v>
      </c>
      <c r="B713" s="139" t="s">
        <v>89</v>
      </c>
      <c r="C713" s="134" t="s">
        <v>139</v>
      </c>
      <c r="D713" s="134" t="s">
        <v>24</v>
      </c>
      <c r="E713" s="134" t="s">
        <v>518</v>
      </c>
      <c r="F713" s="134" t="s">
        <v>673</v>
      </c>
      <c r="G713" s="134" t="s">
        <v>677</v>
      </c>
      <c r="H713" s="134" t="s">
        <v>683</v>
      </c>
      <c r="I713" s="134" t="s">
        <v>684</v>
      </c>
      <c r="J713" s="135">
        <v>107364</v>
      </c>
    </row>
    <row r="714" spans="1:10" ht="34.5" thickBot="1" x14ac:dyDescent="0.3">
      <c r="A714" s="139" t="s">
        <v>90</v>
      </c>
      <c r="B714" s="139" t="s">
        <v>89</v>
      </c>
      <c r="C714" s="134" t="s">
        <v>139</v>
      </c>
      <c r="D714" s="134" t="s">
        <v>24</v>
      </c>
      <c r="E714" s="134" t="s">
        <v>518</v>
      </c>
      <c r="F714" s="134" t="s">
        <v>673</v>
      </c>
      <c r="G714" s="134" t="s">
        <v>677</v>
      </c>
      <c r="H714" s="134" t="s">
        <v>675</v>
      </c>
      <c r="I714" s="134" t="s">
        <v>676</v>
      </c>
      <c r="J714" s="136">
        <v>2312562.87</v>
      </c>
    </row>
    <row r="715" spans="1:10" ht="34.5" thickBot="1" x14ac:dyDescent="0.3">
      <c r="A715" s="139" t="s">
        <v>90</v>
      </c>
      <c r="B715" s="139" t="s">
        <v>89</v>
      </c>
      <c r="C715" s="134" t="s">
        <v>139</v>
      </c>
      <c r="D715" s="134" t="s">
        <v>24</v>
      </c>
      <c r="E715" s="134" t="s">
        <v>518</v>
      </c>
      <c r="F715" s="134" t="s">
        <v>673</v>
      </c>
      <c r="G715" s="134" t="s">
        <v>677</v>
      </c>
      <c r="H715" s="134" t="s">
        <v>705</v>
      </c>
      <c r="I715" s="134" t="s">
        <v>706</v>
      </c>
      <c r="J715" s="135">
        <v>3350000</v>
      </c>
    </row>
    <row r="716" spans="1:10" ht="23.25" thickBot="1" x14ac:dyDescent="0.3">
      <c r="A716" s="139" t="s">
        <v>90</v>
      </c>
      <c r="B716" s="139" t="s">
        <v>89</v>
      </c>
      <c r="C716" s="134" t="s">
        <v>139</v>
      </c>
      <c r="D716" s="134" t="s">
        <v>24</v>
      </c>
      <c r="E716" s="134" t="s">
        <v>514</v>
      </c>
      <c r="F716" s="134" t="s">
        <v>678</v>
      </c>
      <c r="G716" s="134" t="s">
        <v>679</v>
      </c>
      <c r="H716" s="134" t="s">
        <v>381</v>
      </c>
      <c r="I716" s="134" t="s">
        <v>380</v>
      </c>
      <c r="J716" s="136">
        <v>350</v>
      </c>
    </row>
    <row r="717" spans="1:10" ht="23.25" thickBot="1" x14ac:dyDescent="0.3">
      <c r="A717" s="139" t="s">
        <v>90</v>
      </c>
      <c r="B717" s="139" t="s">
        <v>89</v>
      </c>
      <c r="C717" s="134" t="s">
        <v>139</v>
      </c>
      <c r="D717" s="134" t="s">
        <v>24</v>
      </c>
      <c r="E717" s="134" t="s">
        <v>691</v>
      </c>
      <c r="F717" s="134" t="s">
        <v>692</v>
      </c>
      <c r="G717" s="134" t="s">
        <v>693</v>
      </c>
      <c r="H717" s="134" t="s">
        <v>685</v>
      </c>
      <c r="I717" s="134" t="s">
        <v>686</v>
      </c>
      <c r="J717" s="135">
        <v>0</v>
      </c>
    </row>
    <row r="718" spans="1:10" ht="15.75" thickBot="1" x14ac:dyDescent="0.3">
      <c r="A718" s="139" t="s">
        <v>90</v>
      </c>
      <c r="B718" s="139" t="s">
        <v>89</v>
      </c>
      <c r="C718" s="134" t="s">
        <v>139</v>
      </c>
      <c r="D718" s="134" t="s">
        <v>24</v>
      </c>
      <c r="E718" s="134" t="s">
        <v>680</v>
      </c>
      <c r="F718" s="134" t="s">
        <v>681</v>
      </c>
      <c r="G718" s="134" t="s">
        <v>682</v>
      </c>
      <c r="H718" s="134" t="s">
        <v>230</v>
      </c>
      <c r="I718" s="134" t="s">
        <v>231</v>
      </c>
      <c r="J718" s="136">
        <v>0</v>
      </c>
    </row>
    <row r="719" spans="1:10" ht="15.75" thickBot="1" x14ac:dyDescent="0.3">
      <c r="A719" s="139" t="s">
        <v>90</v>
      </c>
      <c r="B719" s="139" t="s">
        <v>89</v>
      </c>
      <c r="C719" s="134" t="s">
        <v>139</v>
      </c>
      <c r="D719" s="134" t="s">
        <v>24</v>
      </c>
      <c r="E719" s="134" t="s">
        <v>680</v>
      </c>
      <c r="F719" s="134" t="s">
        <v>681</v>
      </c>
      <c r="G719" s="134" t="s">
        <v>682</v>
      </c>
      <c r="H719" s="134" t="s">
        <v>685</v>
      </c>
      <c r="I719" s="134" t="s">
        <v>686</v>
      </c>
      <c r="J719" s="135">
        <v>97806.87</v>
      </c>
    </row>
    <row r="720" spans="1:10" ht="34.5" thickBot="1" x14ac:dyDescent="0.3">
      <c r="A720" s="139" t="s">
        <v>90</v>
      </c>
      <c r="B720" s="139" t="s">
        <v>89</v>
      </c>
      <c r="C720" s="134" t="s">
        <v>139</v>
      </c>
      <c r="D720" s="134" t="s">
        <v>24</v>
      </c>
      <c r="E720" s="134" t="s">
        <v>680</v>
      </c>
      <c r="F720" s="134" t="s">
        <v>681</v>
      </c>
      <c r="G720" s="134" t="s">
        <v>694</v>
      </c>
      <c r="H720" s="134" t="s">
        <v>695</v>
      </c>
      <c r="I720" s="134" t="s">
        <v>696</v>
      </c>
      <c r="J720" s="136">
        <v>0</v>
      </c>
    </row>
    <row r="721" spans="1:10" ht="23.25" thickBot="1" x14ac:dyDescent="0.3">
      <c r="A721" s="139" t="s">
        <v>90</v>
      </c>
      <c r="B721" s="139" t="s">
        <v>89</v>
      </c>
      <c r="C721" s="134" t="s">
        <v>139</v>
      </c>
      <c r="D721" s="134" t="s">
        <v>24</v>
      </c>
      <c r="E721" s="134" t="s">
        <v>680</v>
      </c>
      <c r="F721" s="134" t="s">
        <v>681</v>
      </c>
      <c r="G721" s="134" t="s">
        <v>694</v>
      </c>
      <c r="H721" s="134" t="s">
        <v>707</v>
      </c>
      <c r="I721" s="134" t="s">
        <v>708</v>
      </c>
      <c r="J721" s="135">
        <v>223400</v>
      </c>
    </row>
    <row r="722" spans="1:10" ht="23.25" thickBot="1" x14ac:dyDescent="0.3">
      <c r="A722" s="139" t="s">
        <v>90</v>
      </c>
      <c r="B722" s="139" t="s">
        <v>89</v>
      </c>
      <c r="C722" s="134" t="s">
        <v>139</v>
      </c>
      <c r="D722" s="134" t="s">
        <v>24</v>
      </c>
      <c r="E722" s="134" t="s">
        <v>526</v>
      </c>
      <c r="F722" s="134" t="s">
        <v>689</v>
      </c>
      <c r="G722" s="134" t="s">
        <v>690</v>
      </c>
      <c r="H722" s="134" t="s">
        <v>230</v>
      </c>
      <c r="I722" s="134" t="s">
        <v>231</v>
      </c>
      <c r="J722" s="136">
        <v>-2208</v>
      </c>
    </row>
    <row r="723" spans="1:10" ht="23.25" thickBot="1" x14ac:dyDescent="0.3">
      <c r="A723" s="139" t="s">
        <v>90</v>
      </c>
      <c r="B723" s="139" t="s">
        <v>89</v>
      </c>
      <c r="C723" s="134" t="s">
        <v>139</v>
      </c>
      <c r="D723" s="134" t="s">
        <v>24</v>
      </c>
      <c r="E723" s="134" t="s">
        <v>526</v>
      </c>
      <c r="F723" s="134" t="s">
        <v>689</v>
      </c>
      <c r="G723" s="134" t="s">
        <v>690</v>
      </c>
      <c r="H723" s="134" t="s">
        <v>697</v>
      </c>
      <c r="I723" s="134" t="s">
        <v>698</v>
      </c>
      <c r="J723" s="135">
        <v>134060</v>
      </c>
    </row>
    <row r="724" spans="1:10" ht="45.75" thickBot="1" x14ac:dyDescent="0.3">
      <c r="A724" s="139" t="s">
        <v>90</v>
      </c>
      <c r="B724" s="139" t="s">
        <v>89</v>
      </c>
      <c r="C724" s="134" t="s">
        <v>139</v>
      </c>
      <c r="D724" s="134" t="s">
        <v>24</v>
      </c>
      <c r="E724" s="134" t="s">
        <v>526</v>
      </c>
      <c r="F724" s="134" t="s">
        <v>689</v>
      </c>
      <c r="G724" s="134" t="s">
        <v>690</v>
      </c>
      <c r="H724" s="134" t="s">
        <v>701</v>
      </c>
      <c r="I724" s="134" t="s">
        <v>702</v>
      </c>
      <c r="J724" s="136">
        <v>10000</v>
      </c>
    </row>
    <row r="725" spans="1:10" ht="15.75" thickBot="1" x14ac:dyDescent="0.3">
      <c r="A725" s="139" t="s">
        <v>90</v>
      </c>
      <c r="B725" s="139" t="s">
        <v>89</v>
      </c>
      <c r="C725" s="134" t="s">
        <v>139</v>
      </c>
      <c r="D725" s="134" t="s">
        <v>24</v>
      </c>
      <c r="E725" s="352" t="s">
        <v>64</v>
      </c>
      <c r="F725" s="354"/>
      <c r="G725" s="354"/>
      <c r="H725" s="354"/>
      <c r="I725" s="353"/>
      <c r="J725" s="137">
        <v>7735750.9900000002</v>
      </c>
    </row>
    <row r="726" spans="1:10" ht="23.25" thickBot="1" x14ac:dyDescent="0.3">
      <c r="A726" s="139" t="s">
        <v>90</v>
      </c>
      <c r="B726" s="139" t="s">
        <v>89</v>
      </c>
      <c r="C726" s="134" t="s">
        <v>195</v>
      </c>
      <c r="D726" s="134" t="s">
        <v>196</v>
      </c>
      <c r="E726" s="134" t="s">
        <v>530</v>
      </c>
      <c r="F726" s="134" t="s">
        <v>671</v>
      </c>
      <c r="G726" s="134" t="s">
        <v>672</v>
      </c>
      <c r="H726" s="134" t="s">
        <v>230</v>
      </c>
      <c r="I726" s="134" t="s">
        <v>231</v>
      </c>
      <c r="J726" s="136">
        <v>3148933.21</v>
      </c>
    </row>
    <row r="727" spans="1:10" ht="23.25" thickBot="1" x14ac:dyDescent="0.3">
      <c r="A727" s="139" t="s">
        <v>90</v>
      </c>
      <c r="B727" s="139" t="s">
        <v>89</v>
      </c>
      <c r="C727" s="134" t="s">
        <v>195</v>
      </c>
      <c r="D727" s="134" t="s">
        <v>196</v>
      </c>
      <c r="E727" s="134" t="s">
        <v>518</v>
      </c>
      <c r="F727" s="134" t="s">
        <v>673</v>
      </c>
      <c r="G727" s="134" t="s">
        <v>674</v>
      </c>
      <c r="H727" s="134" t="s">
        <v>230</v>
      </c>
      <c r="I727" s="134" t="s">
        <v>231</v>
      </c>
      <c r="J727" s="135">
        <v>95235.83</v>
      </c>
    </row>
    <row r="728" spans="1:10" ht="34.5" thickBot="1" x14ac:dyDescent="0.3">
      <c r="A728" s="139" t="s">
        <v>90</v>
      </c>
      <c r="B728" s="139" t="s">
        <v>89</v>
      </c>
      <c r="C728" s="134" t="s">
        <v>195</v>
      </c>
      <c r="D728" s="134" t="s">
        <v>196</v>
      </c>
      <c r="E728" s="134" t="s">
        <v>518</v>
      </c>
      <c r="F728" s="134" t="s">
        <v>673</v>
      </c>
      <c r="G728" s="134" t="s">
        <v>674</v>
      </c>
      <c r="H728" s="134" t="s">
        <v>683</v>
      </c>
      <c r="I728" s="134" t="s">
        <v>684</v>
      </c>
      <c r="J728" s="136">
        <v>71763</v>
      </c>
    </row>
    <row r="729" spans="1:10" ht="34.5" thickBot="1" x14ac:dyDescent="0.3">
      <c r="A729" s="139" t="s">
        <v>90</v>
      </c>
      <c r="B729" s="139" t="s">
        <v>89</v>
      </c>
      <c r="C729" s="134" t="s">
        <v>195</v>
      </c>
      <c r="D729" s="134" t="s">
        <v>196</v>
      </c>
      <c r="E729" s="134" t="s">
        <v>518</v>
      </c>
      <c r="F729" s="134" t="s">
        <v>673</v>
      </c>
      <c r="G729" s="134" t="s">
        <v>674</v>
      </c>
      <c r="H729" s="134" t="s">
        <v>675</v>
      </c>
      <c r="I729" s="134" t="s">
        <v>676</v>
      </c>
      <c r="J729" s="135">
        <v>1251561.8600000001</v>
      </c>
    </row>
    <row r="730" spans="1:10" ht="23.25" thickBot="1" x14ac:dyDescent="0.3">
      <c r="A730" s="139" t="s">
        <v>90</v>
      </c>
      <c r="B730" s="139" t="s">
        <v>89</v>
      </c>
      <c r="C730" s="134" t="s">
        <v>195</v>
      </c>
      <c r="D730" s="134" t="s">
        <v>196</v>
      </c>
      <c r="E730" s="134" t="s">
        <v>518</v>
      </c>
      <c r="F730" s="134" t="s">
        <v>673</v>
      </c>
      <c r="G730" s="134" t="s">
        <v>677</v>
      </c>
      <c r="H730" s="134" t="s">
        <v>230</v>
      </c>
      <c r="I730" s="134" t="s">
        <v>231</v>
      </c>
      <c r="J730" s="136">
        <v>1315309</v>
      </c>
    </row>
    <row r="731" spans="1:10" ht="23.25" thickBot="1" x14ac:dyDescent="0.3">
      <c r="A731" s="139" t="s">
        <v>90</v>
      </c>
      <c r="B731" s="139" t="s">
        <v>89</v>
      </c>
      <c r="C731" s="134" t="s">
        <v>195</v>
      </c>
      <c r="D731" s="134" t="s">
        <v>196</v>
      </c>
      <c r="E731" s="134" t="s">
        <v>514</v>
      </c>
      <c r="F731" s="134" t="s">
        <v>678</v>
      </c>
      <c r="G731" s="134" t="s">
        <v>679</v>
      </c>
      <c r="H731" s="134" t="s">
        <v>381</v>
      </c>
      <c r="I731" s="134" t="s">
        <v>380</v>
      </c>
      <c r="J731" s="135">
        <v>8157</v>
      </c>
    </row>
    <row r="732" spans="1:10" ht="23.25" thickBot="1" x14ac:dyDescent="0.3">
      <c r="A732" s="139" t="s">
        <v>90</v>
      </c>
      <c r="B732" s="139" t="s">
        <v>89</v>
      </c>
      <c r="C732" s="134" t="s">
        <v>195</v>
      </c>
      <c r="D732" s="134" t="s">
        <v>196</v>
      </c>
      <c r="E732" s="134" t="s">
        <v>680</v>
      </c>
      <c r="F732" s="134" t="s">
        <v>681</v>
      </c>
      <c r="G732" s="134" t="s">
        <v>682</v>
      </c>
      <c r="H732" s="134" t="s">
        <v>381</v>
      </c>
      <c r="I732" s="134" t="s">
        <v>380</v>
      </c>
      <c r="J732" s="136">
        <v>8360</v>
      </c>
    </row>
    <row r="733" spans="1:10" ht="23.25" thickBot="1" x14ac:dyDescent="0.3">
      <c r="A733" s="139" t="s">
        <v>90</v>
      </c>
      <c r="B733" s="139" t="s">
        <v>89</v>
      </c>
      <c r="C733" s="134" t="s">
        <v>195</v>
      </c>
      <c r="D733" s="134" t="s">
        <v>196</v>
      </c>
      <c r="E733" s="134" t="s">
        <v>680</v>
      </c>
      <c r="F733" s="134" t="s">
        <v>687</v>
      </c>
      <c r="G733" s="134" t="s">
        <v>688</v>
      </c>
      <c r="H733" s="134" t="s">
        <v>230</v>
      </c>
      <c r="I733" s="134" t="s">
        <v>231</v>
      </c>
      <c r="J733" s="135">
        <v>3333</v>
      </c>
    </row>
    <row r="734" spans="1:10" ht="23.25" thickBot="1" x14ac:dyDescent="0.3">
      <c r="A734" s="139" t="s">
        <v>90</v>
      </c>
      <c r="B734" s="139" t="s">
        <v>89</v>
      </c>
      <c r="C734" s="134" t="s">
        <v>195</v>
      </c>
      <c r="D734" s="134" t="s">
        <v>196</v>
      </c>
      <c r="E734" s="134" t="s">
        <v>680</v>
      </c>
      <c r="F734" s="134" t="s">
        <v>687</v>
      </c>
      <c r="G734" s="134" t="s">
        <v>688</v>
      </c>
      <c r="H734" s="134" t="s">
        <v>685</v>
      </c>
      <c r="I734" s="134" t="s">
        <v>686</v>
      </c>
      <c r="J734" s="136">
        <v>33328.33</v>
      </c>
    </row>
    <row r="735" spans="1:10" ht="23.25" thickBot="1" x14ac:dyDescent="0.3">
      <c r="A735" s="139" t="s">
        <v>90</v>
      </c>
      <c r="B735" s="139" t="s">
        <v>89</v>
      </c>
      <c r="C735" s="134" t="s">
        <v>195</v>
      </c>
      <c r="D735" s="134" t="s">
        <v>196</v>
      </c>
      <c r="E735" s="134" t="s">
        <v>680</v>
      </c>
      <c r="F735" s="134" t="s">
        <v>687</v>
      </c>
      <c r="G735" s="134" t="s">
        <v>688</v>
      </c>
      <c r="H735" s="134" t="s">
        <v>381</v>
      </c>
      <c r="I735" s="134" t="s">
        <v>380</v>
      </c>
      <c r="J735" s="135">
        <v>36396</v>
      </c>
    </row>
    <row r="736" spans="1:10" ht="23.25" thickBot="1" x14ac:dyDescent="0.3">
      <c r="A736" s="139" t="s">
        <v>90</v>
      </c>
      <c r="B736" s="139" t="s">
        <v>89</v>
      </c>
      <c r="C736" s="134" t="s">
        <v>195</v>
      </c>
      <c r="D736" s="134" t="s">
        <v>196</v>
      </c>
      <c r="E736" s="134" t="s">
        <v>526</v>
      </c>
      <c r="F736" s="134" t="s">
        <v>689</v>
      </c>
      <c r="G736" s="134" t="s">
        <v>690</v>
      </c>
      <c r="H736" s="134" t="s">
        <v>230</v>
      </c>
      <c r="I736" s="134" t="s">
        <v>231</v>
      </c>
      <c r="J736" s="136">
        <v>-3938.16</v>
      </c>
    </row>
    <row r="737" spans="1:10" ht="23.25" thickBot="1" x14ac:dyDescent="0.3">
      <c r="A737" s="139" t="s">
        <v>90</v>
      </c>
      <c r="B737" s="139" t="s">
        <v>89</v>
      </c>
      <c r="C737" s="134" t="s">
        <v>195</v>
      </c>
      <c r="D737" s="134" t="s">
        <v>196</v>
      </c>
      <c r="E737" s="134" t="s">
        <v>526</v>
      </c>
      <c r="F737" s="134" t="s">
        <v>689</v>
      </c>
      <c r="G737" s="134" t="s">
        <v>690</v>
      </c>
      <c r="H737" s="134" t="s">
        <v>697</v>
      </c>
      <c r="I737" s="134" t="s">
        <v>698</v>
      </c>
      <c r="J737" s="135">
        <v>63504.49</v>
      </c>
    </row>
    <row r="738" spans="1:10" ht="23.25" thickBot="1" x14ac:dyDescent="0.3">
      <c r="A738" s="139" t="s">
        <v>90</v>
      </c>
      <c r="B738" s="139" t="s">
        <v>89</v>
      </c>
      <c r="C738" s="134" t="s">
        <v>195</v>
      </c>
      <c r="D738" s="134" t="s">
        <v>196</v>
      </c>
      <c r="E738" s="352" t="s">
        <v>64</v>
      </c>
      <c r="F738" s="354"/>
      <c r="G738" s="354"/>
      <c r="H738" s="354"/>
      <c r="I738" s="353"/>
      <c r="J738" s="137">
        <f>SUM(J726:J737)</f>
        <v>6031943.5600000005</v>
      </c>
    </row>
    <row r="739" spans="1:10" ht="15.75" thickBot="1" x14ac:dyDescent="0.3">
      <c r="A739" s="139" t="s">
        <v>90</v>
      </c>
      <c r="B739" s="139" t="s">
        <v>89</v>
      </c>
      <c r="C739" s="352" t="s">
        <v>64</v>
      </c>
      <c r="D739" s="354"/>
      <c r="E739" s="354"/>
      <c r="F739" s="354"/>
      <c r="G739" s="354"/>
      <c r="H739" s="354"/>
      <c r="I739" s="353"/>
      <c r="J739" s="137">
        <f>+J738+J725+J710+J700+J689+J677+J675+J667</f>
        <v>29986802.400000002</v>
      </c>
    </row>
    <row r="740" spans="1:10" ht="15.75" thickBot="1" x14ac:dyDescent="0.3"/>
    <row r="741" spans="1:10" ht="23.25" thickBot="1" x14ac:dyDescent="0.3">
      <c r="A741" s="228" t="s">
        <v>163</v>
      </c>
      <c r="B741" s="214" t="s">
        <v>164</v>
      </c>
      <c r="C741" s="134" t="s">
        <v>123</v>
      </c>
      <c r="D741" s="134" t="s">
        <v>25</v>
      </c>
      <c r="E741" s="134" t="s">
        <v>530</v>
      </c>
      <c r="F741" s="134" t="s">
        <v>671</v>
      </c>
      <c r="G741" s="134" t="s">
        <v>672</v>
      </c>
      <c r="H741" s="134" t="s">
        <v>230</v>
      </c>
      <c r="I741" s="134" t="s">
        <v>231</v>
      </c>
      <c r="J741" s="135">
        <v>39674.11</v>
      </c>
    </row>
    <row r="742" spans="1:10" ht="34.5" thickBot="1" x14ac:dyDescent="0.3">
      <c r="A742" s="228" t="s">
        <v>163</v>
      </c>
      <c r="B742" s="214" t="s">
        <v>164</v>
      </c>
      <c r="C742" s="134" t="s">
        <v>123</v>
      </c>
      <c r="D742" s="134" t="s">
        <v>25</v>
      </c>
      <c r="E742" s="134" t="s">
        <v>518</v>
      </c>
      <c r="F742" s="134" t="s">
        <v>673</v>
      </c>
      <c r="G742" s="134" t="s">
        <v>674</v>
      </c>
      <c r="H742" s="134" t="s">
        <v>683</v>
      </c>
      <c r="I742" s="134" t="s">
        <v>684</v>
      </c>
      <c r="J742" s="136">
        <v>0</v>
      </c>
    </row>
    <row r="743" spans="1:10" ht="23.25" thickBot="1" x14ac:dyDescent="0.3">
      <c r="A743" s="228" t="s">
        <v>163</v>
      </c>
      <c r="B743" s="214" t="s">
        <v>164</v>
      </c>
      <c r="C743" s="134" t="s">
        <v>123</v>
      </c>
      <c r="D743" s="134" t="s">
        <v>25</v>
      </c>
      <c r="E743" s="134" t="s">
        <v>526</v>
      </c>
      <c r="F743" s="134" t="s">
        <v>689</v>
      </c>
      <c r="G743" s="134" t="s">
        <v>690</v>
      </c>
      <c r="H743" s="134" t="s">
        <v>230</v>
      </c>
      <c r="I743" s="134" t="s">
        <v>231</v>
      </c>
      <c r="J743" s="135">
        <v>18448.259999999998</v>
      </c>
    </row>
    <row r="744" spans="1:10" ht="15.75" thickBot="1" x14ac:dyDescent="0.3">
      <c r="A744" s="228" t="s">
        <v>163</v>
      </c>
      <c r="B744" s="214" t="s">
        <v>164</v>
      </c>
      <c r="C744" s="134" t="s">
        <v>123</v>
      </c>
      <c r="D744" s="134" t="s">
        <v>25</v>
      </c>
      <c r="E744" s="134" t="s">
        <v>524</v>
      </c>
      <c r="F744" s="134" t="s">
        <v>703</v>
      </c>
      <c r="G744" s="134" t="s">
        <v>704</v>
      </c>
      <c r="H744" s="134" t="s">
        <v>230</v>
      </c>
      <c r="I744" s="134" t="s">
        <v>231</v>
      </c>
      <c r="J744" s="136">
        <v>153354.65</v>
      </c>
    </row>
    <row r="745" spans="1:10" ht="15.75" thickBot="1" x14ac:dyDescent="0.3">
      <c r="A745" s="228" t="s">
        <v>163</v>
      </c>
      <c r="B745" s="214" t="s">
        <v>164</v>
      </c>
      <c r="C745" s="134" t="s">
        <v>123</v>
      </c>
      <c r="D745" s="134" t="s">
        <v>25</v>
      </c>
      <c r="E745" s="352" t="s">
        <v>64</v>
      </c>
      <c r="F745" s="354"/>
      <c r="G745" s="354"/>
      <c r="H745" s="354"/>
      <c r="I745" s="353"/>
      <c r="J745" s="137">
        <v>211477.02</v>
      </c>
    </row>
    <row r="747" spans="1:10" ht="15.75" thickBot="1" x14ac:dyDescent="0.3"/>
    <row r="748" spans="1:10" ht="15.75" thickBot="1" x14ac:dyDescent="0.3">
      <c r="A748" s="347"/>
      <c r="B748" s="348"/>
      <c r="C748" s="348"/>
      <c r="D748" s="348"/>
      <c r="E748" s="348"/>
      <c r="F748" s="349"/>
      <c r="G748" s="140"/>
      <c r="H748" s="134" t="s">
        <v>95</v>
      </c>
    </row>
    <row r="749" spans="1:10" ht="15.75" thickBot="1" x14ac:dyDescent="0.3">
      <c r="A749" s="350" t="s">
        <v>94</v>
      </c>
      <c r="B749" s="351"/>
      <c r="C749" s="350" t="s">
        <v>105</v>
      </c>
      <c r="D749" s="351"/>
      <c r="E749" s="134" t="s">
        <v>188</v>
      </c>
      <c r="F749" s="134" t="s">
        <v>209</v>
      </c>
      <c r="G749" s="141"/>
      <c r="H749" s="140" t="s">
        <v>91</v>
      </c>
    </row>
    <row r="750" spans="1:10" ht="15.75" thickBot="1" x14ac:dyDescent="0.3">
      <c r="A750" s="352" t="s">
        <v>104</v>
      </c>
      <c r="B750" s="354"/>
      <c r="C750" s="354"/>
      <c r="D750" s="354"/>
      <c r="E750" s="354"/>
      <c r="F750" s="354"/>
      <c r="G750" s="353"/>
      <c r="H750" s="137">
        <v>19390</v>
      </c>
    </row>
    <row r="751" spans="1:10" ht="15.75" thickBot="1" x14ac:dyDescent="0.3">
      <c r="A751" s="139" t="s">
        <v>90</v>
      </c>
      <c r="B751" s="139" t="s">
        <v>89</v>
      </c>
      <c r="C751" s="134" t="s">
        <v>139</v>
      </c>
      <c r="D751" s="134" t="s">
        <v>24</v>
      </c>
      <c r="E751" s="134" t="s">
        <v>526</v>
      </c>
      <c r="F751" s="134" t="s">
        <v>697</v>
      </c>
      <c r="G751" s="134" t="s">
        <v>698</v>
      </c>
      <c r="H751" s="135">
        <v>19390</v>
      </c>
    </row>
    <row r="752" spans="1:10" ht="15.75" thickBot="1" x14ac:dyDescent="0.3">
      <c r="A752" s="139" t="s">
        <v>90</v>
      </c>
      <c r="B752" s="139" t="s">
        <v>89</v>
      </c>
      <c r="C752" s="134" t="s">
        <v>139</v>
      </c>
      <c r="D752" s="134" t="s">
        <v>24</v>
      </c>
      <c r="E752" s="352" t="s">
        <v>64</v>
      </c>
      <c r="F752" s="354"/>
      <c r="G752" s="353"/>
      <c r="H752" s="137">
        <v>19390</v>
      </c>
    </row>
    <row r="753" spans="1:10" ht="15.75" thickBot="1" x14ac:dyDescent="0.3"/>
    <row r="754" spans="1:10" ht="15.75" thickBot="1" x14ac:dyDescent="0.3">
      <c r="A754" s="222"/>
      <c r="B754" s="223"/>
      <c r="C754" s="223"/>
      <c r="D754" s="223"/>
      <c r="E754" s="223"/>
      <c r="F754" s="223"/>
      <c r="G754" s="223"/>
      <c r="H754" s="224"/>
      <c r="I754" s="140"/>
      <c r="J754" s="134" t="s">
        <v>95</v>
      </c>
    </row>
    <row r="755" spans="1:10" ht="15.75" thickBot="1" x14ac:dyDescent="0.3">
      <c r="A755" s="225" t="s">
        <v>94</v>
      </c>
      <c r="B755" s="226"/>
      <c r="C755" s="225" t="s">
        <v>105</v>
      </c>
      <c r="D755" s="226"/>
      <c r="E755" s="134" t="s">
        <v>188</v>
      </c>
      <c r="F755" s="225" t="s">
        <v>92</v>
      </c>
      <c r="G755" s="226"/>
      <c r="H755" s="134" t="s">
        <v>209</v>
      </c>
      <c r="I755" s="141"/>
      <c r="J755" s="140" t="s">
        <v>91</v>
      </c>
    </row>
    <row r="756" spans="1:10" ht="15.75" thickBot="1" x14ac:dyDescent="0.3">
      <c r="A756" s="219" t="s">
        <v>104</v>
      </c>
      <c r="B756" s="221"/>
      <c r="C756" s="221"/>
      <c r="D756" s="221"/>
      <c r="E756" s="221"/>
      <c r="F756" s="221"/>
      <c r="G756" s="221"/>
      <c r="H756" s="221"/>
      <c r="I756" s="220"/>
      <c r="J756" s="137">
        <v>20000</v>
      </c>
    </row>
    <row r="757" spans="1:10" ht="45.75" thickBot="1" x14ac:dyDescent="0.3">
      <c r="A757" s="139" t="s">
        <v>90</v>
      </c>
      <c r="B757" s="139" t="s">
        <v>89</v>
      </c>
      <c r="C757" s="134" t="s">
        <v>106</v>
      </c>
      <c r="D757" s="134" t="s">
        <v>107</v>
      </c>
      <c r="E757" s="134" t="s">
        <v>514</v>
      </c>
      <c r="F757" s="134" t="s">
        <v>551</v>
      </c>
      <c r="G757" s="134" t="s">
        <v>552</v>
      </c>
      <c r="H757" s="134" t="s">
        <v>701</v>
      </c>
      <c r="I757" s="134" t="s">
        <v>702</v>
      </c>
      <c r="J757" s="135">
        <v>10000</v>
      </c>
    </row>
    <row r="758" spans="1:10" ht="23.25" thickBot="1" x14ac:dyDescent="0.3">
      <c r="A758" s="139" t="s">
        <v>90</v>
      </c>
      <c r="B758" s="139" t="s">
        <v>89</v>
      </c>
      <c r="C758" s="134" t="s">
        <v>106</v>
      </c>
      <c r="D758" s="134" t="s">
        <v>107</v>
      </c>
      <c r="E758" s="219" t="s">
        <v>64</v>
      </c>
      <c r="F758" s="221"/>
      <c r="G758" s="221"/>
      <c r="H758" s="221"/>
      <c r="I758" s="220"/>
      <c r="J758" s="137">
        <v>10000</v>
      </c>
    </row>
    <row r="759" spans="1:10" ht="45.75" thickBot="1" x14ac:dyDescent="0.3">
      <c r="A759" s="139" t="s">
        <v>90</v>
      </c>
      <c r="B759" s="139" t="s">
        <v>89</v>
      </c>
      <c r="C759" s="134" t="s">
        <v>131</v>
      </c>
      <c r="D759" s="134" t="s">
        <v>132</v>
      </c>
      <c r="E759" s="134" t="s">
        <v>526</v>
      </c>
      <c r="F759" s="134" t="s">
        <v>711</v>
      </c>
      <c r="G759" s="134" t="s">
        <v>710</v>
      </c>
      <c r="H759" s="134" t="s">
        <v>701</v>
      </c>
      <c r="I759" s="134" t="s">
        <v>702</v>
      </c>
      <c r="J759" s="135">
        <v>10000</v>
      </c>
    </row>
    <row r="760" spans="1:10" ht="23.25" thickBot="1" x14ac:dyDescent="0.3">
      <c r="A760" s="139" t="s">
        <v>90</v>
      </c>
      <c r="B760" s="139" t="s">
        <v>89</v>
      </c>
      <c r="C760" s="134" t="s">
        <v>131</v>
      </c>
      <c r="D760" s="134" t="s">
        <v>132</v>
      </c>
      <c r="E760" s="352" t="s">
        <v>64</v>
      </c>
      <c r="F760" s="354"/>
      <c r="G760" s="354"/>
      <c r="H760" s="354"/>
      <c r="I760" s="353"/>
      <c r="J760" s="137">
        <v>10000</v>
      </c>
    </row>
    <row r="762" spans="1:10" ht="15.75" thickBot="1" x14ac:dyDescent="0.3">
      <c r="A762" s="80" t="s">
        <v>722</v>
      </c>
    </row>
    <row r="763" spans="1:10" ht="15.75" thickBot="1" x14ac:dyDescent="0.3">
      <c r="A763" s="347"/>
      <c r="B763" s="348"/>
      <c r="C763" s="348"/>
      <c r="D763" s="348"/>
      <c r="E763" s="348"/>
      <c r="F763" s="348"/>
      <c r="G763" s="348"/>
      <c r="H763" s="349"/>
      <c r="I763" s="140"/>
      <c r="J763" s="134" t="s">
        <v>95</v>
      </c>
    </row>
    <row r="764" spans="1:10" ht="15.75" thickBot="1" x14ac:dyDescent="0.3">
      <c r="A764" s="350" t="s">
        <v>94</v>
      </c>
      <c r="B764" s="351"/>
      <c r="C764" s="350" t="s">
        <v>209</v>
      </c>
      <c r="D764" s="351"/>
      <c r="E764" s="350" t="s">
        <v>228</v>
      </c>
      <c r="F764" s="351"/>
      <c r="G764" s="350" t="s">
        <v>101</v>
      </c>
      <c r="H764" s="351"/>
      <c r="I764" s="134" t="s">
        <v>229</v>
      </c>
      <c r="J764" s="140" t="s">
        <v>91</v>
      </c>
    </row>
    <row r="765" spans="1:10" ht="57" thickBot="1" x14ac:dyDescent="0.3">
      <c r="A765" s="228" t="s">
        <v>714</v>
      </c>
      <c r="B765" s="214" t="s">
        <v>715</v>
      </c>
      <c r="C765" s="134" t="s">
        <v>716</v>
      </c>
      <c r="D765" s="134" t="s">
        <v>717</v>
      </c>
      <c r="E765" s="134" t="s">
        <v>718</v>
      </c>
      <c r="F765" s="134" t="s">
        <v>719</v>
      </c>
      <c r="G765" s="134" t="s">
        <v>171</v>
      </c>
      <c r="H765" s="134" t="s">
        <v>172</v>
      </c>
      <c r="I765" s="134" t="s">
        <v>720</v>
      </c>
      <c r="J765" s="136">
        <v>24373916.350000001</v>
      </c>
    </row>
    <row r="766" spans="1:10" ht="34.5" thickBot="1" x14ac:dyDescent="0.3">
      <c r="A766" s="228" t="s">
        <v>714</v>
      </c>
      <c r="B766" s="214" t="s">
        <v>715</v>
      </c>
      <c r="C766" s="134" t="s">
        <v>716</v>
      </c>
      <c r="D766" s="134" t="s">
        <v>717</v>
      </c>
      <c r="E766" s="134" t="s">
        <v>718</v>
      </c>
      <c r="F766" s="134" t="s">
        <v>719</v>
      </c>
      <c r="G766" s="134" t="s">
        <v>171</v>
      </c>
      <c r="H766" s="134" t="s">
        <v>172</v>
      </c>
      <c r="I766" s="134" t="s">
        <v>721</v>
      </c>
      <c r="J766" s="135">
        <v>11780076</v>
      </c>
    </row>
    <row r="767" spans="1:10" ht="23.25" thickBot="1" x14ac:dyDescent="0.3">
      <c r="A767" s="228" t="s">
        <v>714</v>
      </c>
      <c r="B767" s="214" t="s">
        <v>715</v>
      </c>
      <c r="C767" s="134" t="s">
        <v>716</v>
      </c>
      <c r="D767" s="134" t="s">
        <v>717</v>
      </c>
      <c r="E767" s="134" t="s">
        <v>718</v>
      </c>
      <c r="F767" s="134" t="s">
        <v>719</v>
      </c>
      <c r="G767" s="134" t="s">
        <v>171</v>
      </c>
      <c r="H767" s="134" t="s">
        <v>172</v>
      </c>
      <c r="I767" s="143" t="s">
        <v>64</v>
      </c>
      <c r="J767" s="137">
        <v>36153992.350000001</v>
      </c>
    </row>
    <row r="770" spans="1:6" ht="15.75" thickBot="1" x14ac:dyDescent="0.3">
      <c r="A770" s="80" t="s">
        <v>742</v>
      </c>
    </row>
    <row r="771" spans="1:6" ht="23.25" thickBot="1" x14ac:dyDescent="0.3">
      <c r="A771" s="347"/>
      <c r="B771" s="348"/>
      <c r="C771" s="348"/>
      <c r="D771" s="349"/>
      <c r="E771" s="140"/>
      <c r="F771" s="134" t="s">
        <v>480</v>
      </c>
    </row>
    <row r="772" spans="1:6" ht="15.75" thickBot="1" x14ac:dyDescent="0.3">
      <c r="A772" s="350" t="s">
        <v>94</v>
      </c>
      <c r="B772" s="351"/>
      <c r="C772" s="350" t="s">
        <v>92</v>
      </c>
      <c r="D772" s="351"/>
      <c r="E772" s="134" t="s">
        <v>209</v>
      </c>
      <c r="F772" s="140" t="s">
        <v>91</v>
      </c>
    </row>
    <row r="773" spans="1:6" ht="34.5" thickBot="1" x14ac:dyDescent="0.3">
      <c r="A773" s="139" t="s">
        <v>727</v>
      </c>
      <c r="B773" s="139" t="s">
        <v>728</v>
      </c>
      <c r="C773" s="134" t="s">
        <v>729</v>
      </c>
      <c r="D773" s="134" t="s">
        <v>730</v>
      </c>
      <c r="E773" s="134" t="s">
        <v>731</v>
      </c>
      <c r="F773" s="136">
        <v>13215346.73</v>
      </c>
    </row>
    <row r="774" spans="1:6" ht="23.25" thickBot="1" x14ac:dyDescent="0.3">
      <c r="A774" s="139" t="s">
        <v>727</v>
      </c>
      <c r="B774" s="139" t="s">
        <v>728</v>
      </c>
      <c r="C774" s="134" t="s">
        <v>729</v>
      </c>
      <c r="D774" s="134" t="s">
        <v>730</v>
      </c>
      <c r="E774" s="134" t="s">
        <v>732</v>
      </c>
      <c r="F774" s="135">
        <v>22096</v>
      </c>
    </row>
    <row r="775" spans="1:6" ht="23.25" thickBot="1" x14ac:dyDescent="0.3">
      <c r="A775" s="139" t="s">
        <v>727</v>
      </c>
      <c r="B775" s="139" t="s">
        <v>728</v>
      </c>
      <c r="C775" s="134" t="s">
        <v>729</v>
      </c>
      <c r="D775" s="134" t="s">
        <v>730</v>
      </c>
      <c r="E775" s="134" t="s">
        <v>733</v>
      </c>
      <c r="F775" s="136">
        <v>105245.34</v>
      </c>
    </row>
    <row r="776" spans="1:6" ht="23.25" thickBot="1" x14ac:dyDescent="0.3">
      <c r="A776" s="139" t="s">
        <v>727</v>
      </c>
      <c r="B776" s="139" t="s">
        <v>728</v>
      </c>
      <c r="C776" s="134" t="s">
        <v>729</v>
      </c>
      <c r="D776" s="134" t="s">
        <v>730</v>
      </c>
      <c r="E776" s="134" t="s">
        <v>734</v>
      </c>
      <c r="F776" s="135">
        <v>1068469.8999999999</v>
      </c>
    </row>
    <row r="777" spans="1:6" ht="23.25" thickBot="1" x14ac:dyDescent="0.3">
      <c r="A777" s="139" t="s">
        <v>727</v>
      </c>
      <c r="B777" s="139" t="s">
        <v>728</v>
      </c>
      <c r="C777" s="134" t="s">
        <v>729</v>
      </c>
      <c r="D777" s="134" t="s">
        <v>730</v>
      </c>
      <c r="E777" s="134" t="s">
        <v>735</v>
      </c>
      <c r="F777" s="136">
        <v>4887696.7</v>
      </c>
    </row>
    <row r="778" spans="1:6" ht="34.5" thickBot="1" x14ac:dyDescent="0.3">
      <c r="A778" s="139" t="s">
        <v>727</v>
      </c>
      <c r="B778" s="139" t="s">
        <v>728</v>
      </c>
      <c r="C778" s="134" t="s">
        <v>729</v>
      </c>
      <c r="D778" s="134" t="s">
        <v>730</v>
      </c>
      <c r="E778" s="134" t="s">
        <v>736</v>
      </c>
      <c r="F778" s="135">
        <v>4336434.21</v>
      </c>
    </row>
    <row r="779" spans="1:6" ht="23.25" thickBot="1" x14ac:dyDescent="0.3">
      <c r="A779" s="139" t="s">
        <v>727</v>
      </c>
      <c r="B779" s="139" t="s">
        <v>728</v>
      </c>
      <c r="C779" s="134" t="s">
        <v>729</v>
      </c>
      <c r="D779" s="134" t="s">
        <v>730</v>
      </c>
      <c r="E779" s="134" t="s">
        <v>737</v>
      </c>
      <c r="F779" s="136">
        <v>1482100.46</v>
      </c>
    </row>
    <row r="780" spans="1:6" ht="34.5" thickBot="1" x14ac:dyDescent="0.3">
      <c r="A780" s="139" t="s">
        <v>727</v>
      </c>
      <c r="B780" s="139" t="s">
        <v>728</v>
      </c>
      <c r="C780" s="134" t="s">
        <v>729</v>
      </c>
      <c r="D780" s="134" t="s">
        <v>730</v>
      </c>
      <c r="E780" s="134" t="s">
        <v>738</v>
      </c>
      <c r="F780" s="135">
        <v>1582309.45</v>
      </c>
    </row>
    <row r="781" spans="1:6" ht="23.25" thickBot="1" x14ac:dyDescent="0.3">
      <c r="A781" s="139" t="s">
        <v>727</v>
      </c>
      <c r="B781" s="139" t="s">
        <v>728</v>
      </c>
      <c r="C781" s="134" t="s">
        <v>729</v>
      </c>
      <c r="D781" s="134" t="s">
        <v>730</v>
      </c>
      <c r="E781" s="134" t="s">
        <v>739</v>
      </c>
      <c r="F781" s="136">
        <v>483.6</v>
      </c>
    </row>
    <row r="782" spans="1:6" ht="23.25" thickBot="1" x14ac:dyDescent="0.3">
      <c r="A782" s="139" t="s">
        <v>727</v>
      </c>
      <c r="B782" s="139" t="s">
        <v>728</v>
      </c>
      <c r="C782" s="134" t="s">
        <v>729</v>
      </c>
      <c r="D782" s="134" t="s">
        <v>730</v>
      </c>
      <c r="E782" s="134" t="s">
        <v>231</v>
      </c>
      <c r="F782" s="135">
        <v>126045.27</v>
      </c>
    </row>
    <row r="783" spans="1:6" ht="23.25" thickBot="1" x14ac:dyDescent="0.3">
      <c r="A783" s="139" t="s">
        <v>727</v>
      </c>
      <c r="B783" s="139" t="s">
        <v>728</v>
      </c>
      <c r="C783" s="134" t="s">
        <v>457</v>
      </c>
      <c r="D783" s="134" t="s">
        <v>456</v>
      </c>
      <c r="E783" s="134" t="s">
        <v>231</v>
      </c>
      <c r="F783" s="136">
        <v>-19286939</v>
      </c>
    </row>
    <row r="784" spans="1:6" ht="23.25" thickBot="1" x14ac:dyDescent="0.3">
      <c r="A784" s="139" t="s">
        <v>727</v>
      </c>
      <c r="B784" s="139" t="s">
        <v>728</v>
      </c>
      <c r="C784" s="352" t="s">
        <v>64</v>
      </c>
      <c r="D784" s="354"/>
      <c r="E784" s="353"/>
      <c r="F784" s="137">
        <v>7539288.6600000001</v>
      </c>
    </row>
    <row r="785" spans="1:6" ht="34.5" thickBot="1" x14ac:dyDescent="0.3">
      <c r="A785" s="132" t="s">
        <v>740</v>
      </c>
      <c r="B785" s="133" t="s">
        <v>741</v>
      </c>
      <c r="C785" s="134" t="s">
        <v>729</v>
      </c>
      <c r="D785" s="134" t="s">
        <v>730</v>
      </c>
      <c r="E785" s="134" t="s">
        <v>731</v>
      </c>
      <c r="F785" s="136">
        <v>13215346.73</v>
      </c>
    </row>
    <row r="786" spans="1:6" ht="23.25" thickBot="1" x14ac:dyDescent="0.3">
      <c r="A786" s="132" t="s">
        <v>740</v>
      </c>
      <c r="B786" s="133" t="s">
        <v>741</v>
      </c>
      <c r="C786" s="134" t="s">
        <v>729</v>
      </c>
      <c r="D786" s="134" t="s">
        <v>730</v>
      </c>
      <c r="E786" s="134" t="s">
        <v>732</v>
      </c>
      <c r="F786" s="135">
        <v>22096</v>
      </c>
    </row>
    <row r="787" spans="1:6" ht="23.25" thickBot="1" x14ac:dyDescent="0.3">
      <c r="A787" s="132" t="s">
        <v>740</v>
      </c>
      <c r="B787" s="133" t="s">
        <v>741</v>
      </c>
      <c r="C787" s="134" t="s">
        <v>729</v>
      </c>
      <c r="D787" s="134" t="s">
        <v>730</v>
      </c>
      <c r="E787" s="134" t="s">
        <v>733</v>
      </c>
      <c r="F787" s="136">
        <v>105245.34</v>
      </c>
    </row>
    <row r="788" spans="1:6" ht="23.25" thickBot="1" x14ac:dyDescent="0.3">
      <c r="A788" s="132" t="s">
        <v>740</v>
      </c>
      <c r="B788" s="133" t="s">
        <v>741</v>
      </c>
      <c r="C788" s="134" t="s">
        <v>729</v>
      </c>
      <c r="D788" s="134" t="s">
        <v>730</v>
      </c>
      <c r="E788" s="134" t="s">
        <v>734</v>
      </c>
      <c r="F788" s="135">
        <v>1068469.8999999999</v>
      </c>
    </row>
    <row r="789" spans="1:6" ht="23.25" thickBot="1" x14ac:dyDescent="0.3">
      <c r="A789" s="132" t="s">
        <v>740</v>
      </c>
      <c r="B789" s="133" t="s">
        <v>741</v>
      </c>
      <c r="C789" s="134" t="s">
        <v>729</v>
      </c>
      <c r="D789" s="134" t="s">
        <v>730</v>
      </c>
      <c r="E789" s="134" t="s">
        <v>735</v>
      </c>
      <c r="F789" s="136">
        <v>4887696.7</v>
      </c>
    </row>
    <row r="790" spans="1:6" ht="34.5" thickBot="1" x14ac:dyDescent="0.3">
      <c r="A790" s="132" t="s">
        <v>740</v>
      </c>
      <c r="B790" s="133" t="s">
        <v>741</v>
      </c>
      <c r="C790" s="134" t="s">
        <v>729</v>
      </c>
      <c r="D790" s="134" t="s">
        <v>730</v>
      </c>
      <c r="E790" s="134" t="s">
        <v>736</v>
      </c>
      <c r="F790" s="135">
        <v>4336434.21</v>
      </c>
    </row>
    <row r="791" spans="1:6" ht="15.75" thickBot="1" x14ac:dyDescent="0.3">
      <c r="A791" s="132" t="s">
        <v>740</v>
      </c>
      <c r="B791" s="133" t="s">
        <v>741</v>
      </c>
      <c r="C791" s="134" t="s">
        <v>729</v>
      </c>
      <c r="D791" s="134" t="s">
        <v>730</v>
      </c>
      <c r="E791" s="134" t="s">
        <v>737</v>
      </c>
      <c r="F791" s="136">
        <v>1482100.46</v>
      </c>
    </row>
    <row r="792" spans="1:6" ht="34.5" thickBot="1" x14ac:dyDescent="0.3">
      <c r="A792" s="132" t="s">
        <v>740</v>
      </c>
      <c r="B792" s="133" t="s">
        <v>741</v>
      </c>
      <c r="C792" s="134" t="s">
        <v>729</v>
      </c>
      <c r="D792" s="134" t="s">
        <v>730</v>
      </c>
      <c r="E792" s="134" t="s">
        <v>738</v>
      </c>
      <c r="F792" s="135">
        <v>1582309.45</v>
      </c>
    </row>
    <row r="793" spans="1:6" ht="23.25" thickBot="1" x14ac:dyDescent="0.3">
      <c r="A793" s="132" t="s">
        <v>740</v>
      </c>
      <c r="B793" s="133" t="s">
        <v>741</v>
      </c>
      <c r="C793" s="134" t="s">
        <v>729</v>
      </c>
      <c r="D793" s="134" t="s">
        <v>730</v>
      </c>
      <c r="E793" s="134" t="s">
        <v>739</v>
      </c>
      <c r="F793" s="136">
        <v>483.6</v>
      </c>
    </row>
    <row r="794" spans="1:6" ht="15.75" thickBot="1" x14ac:dyDescent="0.3">
      <c r="A794" s="132" t="s">
        <v>740</v>
      </c>
      <c r="B794" s="133" t="s">
        <v>741</v>
      </c>
      <c r="C794" s="134" t="s">
        <v>729</v>
      </c>
      <c r="D794" s="134" t="s">
        <v>730</v>
      </c>
      <c r="E794" s="134" t="s">
        <v>231</v>
      </c>
      <c r="F794" s="135">
        <v>126045.27</v>
      </c>
    </row>
    <row r="795" spans="1:6" ht="15.75" thickBot="1" x14ac:dyDescent="0.3">
      <c r="A795" s="132" t="s">
        <v>740</v>
      </c>
      <c r="B795" s="133" t="s">
        <v>741</v>
      </c>
      <c r="C795" s="134" t="s">
        <v>457</v>
      </c>
      <c r="D795" s="134" t="s">
        <v>456</v>
      </c>
      <c r="E795" s="134" t="s">
        <v>231</v>
      </c>
      <c r="F795" s="136">
        <v>-19286939</v>
      </c>
    </row>
    <row r="796" spans="1:6" ht="15.75" thickBot="1" x14ac:dyDescent="0.3">
      <c r="A796" s="132" t="s">
        <v>740</v>
      </c>
      <c r="B796" s="133" t="s">
        <v>741</v>
      </c>
      <c r="C796" s="352" t="s">
        <v>64</v>
      </c>
      <c r="D796" s="354"/>
      <c r="E796" s="353"/>
      <c r="F796" s="137">
        <v>7539288.6600000001</v>
      </c>
    </row>
    <row r="799" spans="1:6" x14ac:dyDescent="0.25">
      <c r="A799" s="80" t="s">
        <v>751</v>
      </c>
    </row>
    <row r="800" spans="1:6" s="245" customFormat="1" x14ac:dyDescent="0.25">
      <c r="A800" s="80" t="s">
        <v>582</v>
      </c>
      <c r="C800" s="245" t="s">
        <v>753</v>
      </c>
      <c r="D800" s="245" t="s">
        <v>582</v>
      </c>
      <c r="E800" s="245" t="s">
        <v>752</v>
      </c>
    </row>
    <row r="801" spans="1:6" x14ac:dyDescent="0.25">
      <c r="A801">
        <v>2018</v>
      </c>
      <c r="B801">
        <v>2019</v>
      </c>
      <c r="C801">
        <f>1-D801</f>
        <v>5.5061147000153077E-2</v>
      </c>
      <c r="D801" s="247">
        <f>+D802/A802</f>
        <v>0.94493885299984692</v>
      </c>
    </row>
    <row r="802" spans="1:6" x14ac:dyDescent="0.25">
      <c r="A802" s="246">
        <v>2864651.6595545704</v>
      </c>
      <c r="B802" s="246">
        <v>3062930</v>
      </c>
      <c r="C802" s="246">
        <v>157731.00613096682</v>
      </c>
      <c r="D802" s="246">
        <v>2706920.6534236036</v>
      </c>
      <c r="E802" s="246">
        <f>+D802/D801</f>
        <v>2864651.6595545704</v>
      </c>
      <c r="F802" s="246">
        <v>2018</v>
      </c>
    </row>
    <row r="803" spans="1:6" x14ac:dyDescent="0.25">
      <c r="C803" s="246">
        <f>+E803-D803</f>
        <v>168648.43898117868</v>
      </c>
      <c r="D803" s="246">
        <f>+E803*D801</f>
        <v>2894281.5610188213</v>
      </c>
      <c r="E803" s="246">
        <v>3062930</v>
      </c>
      <c r="F803">
        <v>2019</v>
      </c>
    </row>
  </sheetData>
  <mergeCells count="178">
    <mergeCell ref="A771:D771"/>
    <mergeCell ref="A772:B772"/>
    <mergeCell ref="C772:D772"/>
    <mergeCell ref="C784:E784"/>
    <mergeCell ref="C796:E796"/>
    <mergeCell ref="E760:I760"/>
    <mergeCell ref="E700:I700"/>
    <mergeCell ref="E710:I710"/>
    <mergeCell ref="E725:I725"/>
    <mergeCell ref="E738:I738"/>
    <mergeCell ref="C739:I739"/>
    <mergeCell ref="A763:H763"/>
    <mergeCell ref="A764:B764"/>
    <mergeCell ref="C764:D764"/>
    <mergeCell ref="E764:F764"/>
    <mergeCell ref="G764:H764"/>
    <mergeCell ref="E667:I667"/>
    <mergeCell ref="E675:I675"/>
    <mergeCell ref="E677:I677"/>
    <mergeCell ref="E689:I689"/>
    <mergeCell ref="E745:I745"/>
    <mergeCell ref="A750:G750"/>
    <mergeCell ref="E752:G752"/>
    <mergeCell ref="A748:F748"/>
    <mergeCell ref="A749:B749"/>
    <mergeCell ref="C749:D749"/>
    <mergeCell ref="G336:K336"/>
    <mergeCell ref="G338:K338"/>
    <mergeCell ref="G342:K342"/>
    <mergeCell ref="C343:K343"/>
    <mergeCell ref="G346:K346"/>
    <mergeCell ref="G348:K348"/>
    <mergeCell ref="G359:K359"/>
    <mergeCell ref="C425:I425"/>
    <mergeCell ref="A410:H410"/>
    <mergeCell ref="A411:B411"/>
    <mergeCell ref="D411:E411"/>
    <mergeCell ref="F411:G411"/>
    <mergeCell ref="A398:H398"/>
    <mergeCell ref="F399:G399"/>
    <mergeCell ref="D406:I406"/>
    <mergeCell ref="H413:I413"/>
    <mergeCell ref="H416:I416"/>
    <mergeCell ref="A399:B399"/>
    <mergeCell ref="D399:E399"/>
    <mergeCell ref="H423:I423"/>
    <mergeCell ref="D424:I424"/>
    <mergeCell ref="M376:M377"/>
    <mergeCell ref="A381:J381"/>
    <mergeCell ref="A382:B382"/>
    <mergeCell ref="D382:E382"/>
    <mergeCell ref="F382:G382"/>
    <mergeCell ref="G362:K362"/>
    <mergeCell ref="G365:K365"/>
    <mergeCell ref="G371:K371"/>
    <mergeCell ref="G374:K374"/>
    <mergeCell ref="G378:K378"/>
    <mergeCell ref="H382:I382"/>
    <mergeCell ref="A81:F81"/>
    <mergeCell ref="A169:H169"/>
    <mergeCell ref="A84:G84"/>
    <mergeCell ref="B85:C85"/>
    <mergeCell ref="E85:F85"/>
    <mergeCell ref="G137:H137"/>
    <mergeCell ref="G151:H151"/>
    <mergeCell ref="A152:H152"/>
    <mergeCell ref="G107:H107"/>
    <mergeCell ref="G112:H112"/>
    <mergeCell ref="G116:H116"/>
    <mergeCell ref="G119:H119"/>
    <mergeCell ref="G125:H125"/>
    <mergeCell ref="G129:H129"/>
    <mergeCell ref="E45:F45"/>
    <mergeCell ref="C46:F46"/>
    <mergeCell ref="E64:F64"/>
    <mergeCell ref="E66:F66"/>
    <mergeCell ref="C67:F67"/>
    <mergeCell ref="E72:F72"/>
    <mergeCell ref="E75:F75"/>
    <mergeCell ref="E79:F79"/>
    <mergeCell ref="C80:F80"/>
    <mergeCell ref="A2:E3"/>
    <mergeCell ref="A4:B4"/>
    <mergeCell ref="C4:D4"/>
    <mergeCell ref="E9:F9"/>
    <mergeCell ref="E11:F11"/>
    <mergeCell ref="E43:F43"/>
    <mergeCell ref="E15:F15"/>
    <mergeCell ref="E17:F17"/>
    <mergeCell ref="C18:F18"/>
    <mergeCell ref="E21:F21"/>
    <mergeCell ref="C22:F22"/>
    <mergeCell ref="E27:F27"/>
    <mergeCell ref="E29:F29"/>
    <mergeCell ref="C30:F30"/>
    <mergeCell ref="E35:F35"/>
    <mergeCell ref="E37:F37"/>
    <mergeCell ref="C38:F38"/>
    <mergeCell ref="C12:F12"/>
    <mergeCell ref="C452:D452"/>
    <mergeCell ref="C456:D456"/>
    <mergeCell ref="A429:C429"/>
    <mergeCell ref="A430:B430"/>
    <mergeCell ref="C436:D436"/>
    <mergeCell ref="A170:B170"/>
    <mergeCell ref="C170:D170"/>
    <mergeCell ref="E170:F170"/>
    <mergeCell ref="C320:I320"/>
    <mergeCell ref="H326:I326"/>
    <mergeCell ref="A322:H322"/>
    <mergeCell ref="A323:B323"/>
    <mergeCell ref="D323:E323"/>
    <mergeCell ref="F323:G323"/>
    <mergeCell ref="G170:H170"/>
    <mergeCell ref="G330:H330"/>
    <mergeCell ref="A392:E392"/>
    <mergeCell ref="A393:B393"/>
    <mergeCell ref="C393:D393"/>
    <mergeCell ref="I330:J330"/>
    <mergeCell ref="H386:K386"/>
    <mergeCell ref="H388:K388"/>
    <mergeCell ref="D389:K389"/>
    <mergeCell ref="H384:K384"/>
    <mergeCell ref="F483:H483"/>
    <mergeCell ref="C484:H484"/>
    <mergeCell ref="F491:H491"/>
    <mergeCell ref="C492:H492"/>
    <mergeCell ref="F509:H509"/>
    <mergeCell ref="A329:J329"/>
    <mergeCell ref="A330:B330"/>
    <mergeCell ref="C330:D330"/>
    <mergeCell ref="E330:F330"/>
    <mergeCell ref="C470:H470"/>
    <mergeCell ref="F472:H472"/>
    <mergeCell ref="C473:H473"/>
    <mergeCell ref="F478:H478"/>
    <mergeCell ref="C479:H479"/>
    <mergeCell ref="A463:G463"/>
    <mergeCell ref="A464:B464"/>
    <mergeCell ref="D464:E464"/>
    <mergeCell ref="F464:G464"/>
    <mergeCell ref="F469:H469"/>
    <mergeCell ref="C460:D460"/>
    <mergeCell ref="C440:D440"/>
    <mergeCell ref="C442:D442"/>
    <mergeCell ref="C444:D444"/>
    <mergeCell ref="C448:D448"/>
    <mergeCell ref="A522:B522"/>
    <mergeCell ref="C530:D530"/>
    <mergeCell ref="E546:F546"/>
    <mergeCell ref="A547:F547"/>
    <mergeCell ref="A533:E533"/>
    <mergeCell ref="A534:B534"/>
    <mergeCell ref="C534:D534"/>
    <mergeCell ref="C510:H510"/>
    <mergeCell ref="F515:H515"/>
    <mergeCell ref="C516:H516"/>
    <mergeCell ref="A517:H517"/>
    <mergeCell ref="A521:C521"/>
    <mergeCell ref="A649:C649"/>
    <mergeCell ref="A650:B650"/>
    <mergeCell ref="C652:D652"/>
    <mergeCell ref="A656:H656"/>
    <mergeCell ref="A657:B657"/>
    <mergeCell ref="C657:D657"/>
    <mergeCell ref="F657:G657"/>
    <mergeCell ref="C560:D560"/>
    <mergeCell ref="A564:C564"/>
    <mergeCell ref="A565:B565"/>
    <mergeCell ref="C581:D581"/>
    <mergeCell ref="C596:D596"/>
    <mergeCell ref="A610:C610"/>
    <mergeCell ref="A611:B611"/>
    <mergeCell ref="A621:D621"/>
    <mergeCell ref="C636:D636"/>
    <mergeCell ref="A631:C631"/>
    <mergeCell ref="A632:B632"/>
    <mergeCell ref="C634:D634"/>
  </mergeCells>
  <phoneticPr fontId="98" type="noConversion"/>
  <pageMargins left="0.7" right="0.7" top="0.75" bottom="0.75" header="0.3" footer="0.3"/>
  <customProperties>
    <customPr name="EpmWorksheetKeyString_GUID" r:id="rId1"/>
  </customPropertie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714"/>
  <sheetViews>
    <sheetView topLeftCell="A427" workbookViewId="0">
      <selection activeCell="I434" sqref="I434"/>
    </sheetView>
  </sheetViews>
  <sheetFormatPr defaultRowHeight="15" x14ac:dyDescent="0.25"/>
  <cols>
    <col min="2" max="2" width="18.140625" customWidth="1"/>
    <col min="3" max="3" width="15.85546875" customWidth="1"/>
    <col min="5" max="5" width="16.28515625" customWidth="1"/>
    <col min="6" max="6" width="10.140625" bestFit="1" customWidth="1"/>
    <col min="7" max="7" width="12.28515625" customWidth="1"/>
    <col min="8" max="9" width="11.42578125" bestFit="1" customWidth="1"/>
    <col min="10" max="10" width="10.7109375" bestFit="1" customWidth="1"/>
    <col min="11" max="11" width="9.85546875" bestFit="1" customWidth="1"/>
    <col min="12" max="12" width="11.85546875" bestFit="1" customWidth="1"/>
    <col min="13" max="13" width="10" bestFit="1" customWidth="1"/>
    <col min="17" max="17" width="24.5703125" bestFit="1" customWidth="1"/>
  </cols>
  <sheetData>
    <row r="1" spans="1:9" ht="16.5" thickBot="1" x14ac:dyDescent="0.3">
      <c r="A1" s="138" t="s">
        <v>806</v>
      </c>
    </row>
    <row r="2" spans="1:9" ht="15.75" thickBot="1" x14ac:dyDescent="0.3">
      <c r="A2" s="355"/>
      <c r="B2" s="356"/>
      <c r="C2" s="356"/>
      <c r="D2" s="356"/>
      <c r="E2" s="357"/>
      <c r="F2" s="140"/>
      <c r="G2" s="134" t="s">
        <v>95</v>
      </c>
      <c r="H2" s="134" t="s">
        <v>95</v>
      </c>
      <c r="I2" s="134" t="s">
        <v>95</v>
      </c>
    </row>
    <row r="3" spans="1:9" ht="15.75" thickBot="1" x14ac:dyDescent="0.3">
      <c r="A3" s="358"/>
      <c r="B3" s="359"/>
      <c r="C3" s="359"/>
      <c r="D3" s="359"/>
      <c r="E3" s="360"/>
      <c r="F3" s="140" t="s">
        <v>101</v>
      </c>
      <c r="G3" s="134" t="s">
        <v>102</v>
      </c>
      <c r="H3" s="134" t="s">
        <v>103</v>
      </c>
      <c r="I3" s="143" t="s">
        <v>104</v>
      </c>
    </row>
    <row r="4" spans="1:9" ht="15.75" thickBot="1" x14ac:dyDescent="0.3">
      <c r="A4" s="350" t="s">
        <v>105</v>
      </c>
      <c r="B4" s="351"/>
      <c r="C4" s="350" t="s">
        <v>93</v>
      </c>
      <c r="D4" s="351"/>
      <c r="E4" s="134" t="s">
        <v>188</v>
      </c>
      <c r="F4" s="141"/>
      <c r="G4" s="140" t="s">
        <v>91</v>
      </c>
      <c r="H4" s="140" t="s">
        <v>91</v>
      </c>
      <c r="I4" s="144" t="s">
        <v>91</v>
      </c>
    </row>
    <row r="5" spans="1:9" ht="23.25" thickBot="1" x14ac:dyDescent="0.3">
      <c r="A5" s="134" t="s">
        <v>106</v>
      </c>
      <c r="B5" s="134" t="s">
        <v>107</v>
      </c>
      <c r="C5" s="134" t="s">
        <v>56</v>
      </c>
      <c r="D5" s="134" t="s">
        <v>385</v>
      </c>
      <c r="E5" s="134" t="s">
        <v>181</v>
      </c>
      <c r="F5" s="134" t="s">
        <v>182</v>
      </c>
      <c r="G5" s="145"/>
      <c r="H5" s="136">
        <v>-75403758.340000004</v>
      </c>
      <c r="I5" s="137">
        <v>-75403758.340000004</v>
      </c>
    </row>
    <row r="6" spans="1:9" ht="23.25" thickBot="1" x14ac:dyDescent="0.3">
      <c r="A6" s="134" t="s">
        <v>106</v>
      </c>
      <c r="B6" s="134" t="s">
        <v>107</v>
      </c>
      <c r="C6" s="134" t="s">
        <v>56</v>
      </c>
      <c r="D6" s="134" t="s">
        <v>385</v>
      </c>
      <c r="E6" s="134" t="s">
        <v>190</v>
      </c>
      <c r="F6" s="134" t="s">
        <v>191</v>
      </c>
      <c r="G6" s="135">
        <v>-2342534.06</v>
      </c>
      <c r="H6" s="146"/>
      <c r="I6" s="137">
        <v>-2342534.06</v>
      </c>
    </row>
    <row r="7" spans="1:9" ht="23.25" thickBot="1" x14ac:dyDescent="0.3">
      <c r="A7" s="134" t="s">
        <v>106</v>
      </c>
      <c r="B7" s="134" t="s">
        <v>107</v>
      </c>
      <c r="C7" s="134" t="s">
        <v>56</v>
      </c>
      <c r="D7" s="134" t="s">
        <v>385</v>
      </c>
      <c r="E7" s="352" t="s">
        <v>64</v>
      </c>
      <c r="F7" s="353"/>
      <c r="G7" s="137">
        <v>-2342534.06</v>
      </c>
      <c r="H7" s="137">
        <v>-75403758.340000004</v>
      </c>
      <c r="I7" s="137">
        <v>-77746292.400000006</v>
      </c>
    </row>
    <row r="8" spans="1:9" ht="23.25" thickBot="1" x14ac:dyDescent="0.3">
      <c r="A8" s="134" t="s">
        <v>106</v>
      </c>
      <c r="B8" s="134" t="s">
        <v>107</v>
      </c>
      <c r="C8" s="352" t="s">
        <v>64</v>
      </c>
      <c r="D8" s="354"/>
      <c r="E8" s="354"/>
      <c r="F8" s="353"/>
      <c r="G8" s="137">
        <v>-2342534.06</v>
      </c>
      <c r="H8" s="137">
        <v>-75403758.340000004</v>
      </c>
      <c r="I8" s="137">
        <v>-77746292.400000006</v>
      </c>
    </row>
    <row r="9" spans="1:9" ht="23.25" thickBot="1" x14ac:dyDescent="0.3">
      <c r="A9" s="134" t="s">
        <v>116</v>
      </c>
      <c r="B9" s="134" t="s">
        <v>26</v>
      </c>
      <c r="C9" s="134" t="s">
        <v>56</v>
      </c>
      <c r="D9" s="134" t="s">
        <v>385</v>
      </c>
      <c r="E9" s="134" t="s">
        <v>181</v>
      </c>
      <c r="F9" s="134" t="s">
        <v>182</v>
      </c>
      <c r="G9" s="145"/>
      <c r="H9" s="136">
        <v>-3583027</v>
      </c>
      <c r="I9" s="137">
        <v>-3583027</v>
      </c>
    </row>
    <row r="10" spans="1:9" ht="23.25" thickBot="1" x14ac:dyDescent="0.3">
      <c r="A10" s="134" t="s">
        <v>116</v>
      </c>
      <c r="B10" s="134" t="s">
        <v>26</v>
      </c>
      <c r="C10" s="134" t="s">
        <v>56</v>
      </c>
      <c r="D10" s="134" t="s">
        <v>385</v>
      </c>
      <c r="E10" s="134" t="s">
        <v>190</v>
      </c>
      <c r="F10" s="134" t="s">
        <v>191</v>
      </c>
      <c r="G10" s="135">
        <v>-1883177</v>
      </c>
      <c r="H10" s="146"/>
      <c r="I10" s="137">
        <v>-1883177</v>
      </c>
    </row>
    <row r="11" spans="1:9" ht="23.25" thickBot="1" x14ac:dyDescent="0.3">
      <c r="A11" s="134" t="s">
        <v>116</v>
      </c>
      <c r="B11" s="134" t="s">
        <v>26</v>
      </c>
      <c r="C11" s="134" t="s">
        <v>56</v>
      </c>
      <c r="D11" s="134" t="s">
        <v>385</v>
      </c>
      <c r="E11" s="352" t="s">
        <v>64</v>
      </c>
      <c r="F11" s="353"/>
      <c r="G11" s="137">
        <v>-1883177</v>
      </c>
      <c r="H11" s="137">
        <v>-3583027</v>
      </c>
      <c r="I11" s="137">
        <v>-5466204</v>
      </c>
    </row>
    <row r="12" spans="1:9" ht="15.75" thickBot="1" x14ac:dyDescent="0.3">
      <c r="A12" s="134" t="s">
        <v>116</v>
      </c>
      <c r="B12" s="134" t="s">
        <v>26</v>
      </c>
      <c r="C12" s="352" t="s">
        <v>64</v>
      </c>
      <c r="D12" s="354"/>
      <c r="E12" s="354"/>
      <c r="F12" s="353"/>
      <c r="G12" s="137">
        <v>-1883177</v>
      </c>
      <c r="H12" s="137">
        <v>-3583027</v>
      </c>
      <c r="I12" s="137">
        <v>-5466204</v>
      </c>
    </row>
    <row r="13" spans="1:9" ht="23.25" thickBot="1" x14ac:dyDescent="0.3">
      <c r="A13" s="134" t="s">
        <v>219</v>
      </c>
      <c r="B13" s="134" t="s">
        <v>220</v>
      </c>
      <c r="C13" s="134" t="s">
        <v>804</v>
      </c>
      <c r="D13" s="134" t="s">
        <v>805</v>
      </c>
      <c r="E13" s="134" t="s">
        <v>181</v>
      </c>
      <c r="F13" s="134" t="s">
        <v>182</v>
      </c>
      <c r="G13" s="145"/>
      <c r="H13" s="136">
        <v>-5900717</v>
      </c>
      <c r="I13" s="137">
        <v>-5900717</v>
      </c>
    </row>
    <row r="14" spans="1:9" ht="23.25" thickBot="1" x14ac:dyDescent="0.3">
      <c r="A14" s="134" t="s">
        <v>219</v>
      </c>
      <c r="B14" s="134" t="s">
        <v>220</v>
      </c>
      <c r="C14" s="134" t="s">
        <v>804</v>
      </c>
      <c r="D14" s="134" t="s">
        <v>805</v>
      </c>
      <c r="E14" s="352" t="s">
        <v>64</v>
      </c>
      <c r="F14" s="353"/>
      <c r="G14" s="193"/>
      <c r="H14" s="137">
        <v>-5900717</v>
      </c>
      <c r="I14" s="137">
        <v>-5900717</v>
      </c>
    </row>
    <row r="15" spans="1:9" ht="23.25" thickBot="1" x14ac:dyDescent="0.3">
      <c r="A15" s="134" t="s">
        <v>219</v>
      </c>
      <c r="B15" s="134" t="s">
        <v>220</v>
      </c>
      <c r="C15" s="352" t="s">
        <v>64</v>
      </c>
      <c r="D15" s="354"/>
      <c r="E15" s="354"/>
      <c r="F15" s="353"/>
      <c r="G15" s="193"/>
      <c r="H15" s="137">
        <v>-5900717</v>
      </c>
      <c r="I15" s="137">
        <v>-5900717</v>
      </c>
    </row>
    <row r="16" spans="1:9" ht="23.25" thickBot="1" x14ac:dyDescent="0.3">
      <c r="A16" s="134" t="s">
        <v>121</v>
      </c>
      <c r="B16" s="134" t="s">
        <v>122</v>
      </c>
      <c r="C16" s="134" t="s">
        <v>56</v>
      </c>
      <c r="D16" s="134" t="s">
        <v>385</v>
      </c>
      <c r="E16" s="134" t="s">
        <v>181</v>
      </c>
      <c r="F16" s="134" t="s">
        <v>182</v>
      </c>
      <c r="G16" s="146"/>
      <c r="H16" s="135">
        <v>-242753907.41</v>
      </c>
      <c r="I16" s="137">
        <v>-242753907.41</v>
      </c>
    </row>
    <row r="17" spans="1:9" ht="23.25" thickBot="1" x14ac:dyDescent="0.3">
      <c r="A17" s="134" t="s">
        <v>121</v>
      </c>
      <c r="B17" s="134" t="s">
        <v>122</v>
      </c>
      <c r="C17" s="134" t="s">
        <v>56</v>
      </c>
      <c r="D17" s="134" t="s">
        <v>385</v>
      </c>
      <c r="E17" s="134" t="s">
        <v>190</v>
      </c>
      <c r="F17" s="134" t="s">
        <v>191</v>
      </c>
      <c r="G17" s="136">
        <v>-5714089.71</v>
      </c>
      <c r="H17" s="145"/>
      <c r="I17" s="137">
        <v>-5714089.71</v>
      </c>
    </row>
    <row r="18" spans="1:9" ht="23.25" thickBot="1" x14ac:dyDescent="0.3">
      <c r="A18" s="134" t="s">
        <v>121</v>
      </c>
      <c r="B18" s="134" t="s">
        <v>122</v>
      </c>
      <c r="C18" s="134" t="s">
        <v>56</v>
      </c>
      <c r="D18" s="134" t="s">
        <v>385</v>
      </c>
      <c r="E18" s="352" t="s">
        <v>64</v>
      </c>
      <c r="F18" s="353"/>
      <c r="G18" s="137">
        <v>-5714089.71</v>
      </c>
      <c r="H18" s="137">
        <v>-242753907.41</v>
      </c>
      <c r="I18" s="137">
        <v>-248467997.12</v>
      </c>
    </row>
    <row r="19" spans="1:9" ht="15.75" thickBot="1" x14ac:dyDescent="0.3">
      <c r="A19" s="134" t="s">
        <v>121</v>
      </c>
      <c r="B19" s="134" t="s">
        <v>122</v>
      </c>
      <c r="C19" s="352" t="s">
        <v>64</v>
      </c>
      <c r="D19" s="354"/>
      <c r="E19" s="354"/>
      <c r="F19" s="353"/>
      <c r="G19" s="137">
        <v>-5714089.71</v>
      </c>
      <c r="H19" s="137">
        <v>-242753907.41</v>
      </c>
      <c r="I19" s="137">
        <v>-248467997.12</v>
      </c>
    </row>
    <row r="20" spans="1:9" ht="23.25" thickBot="1" x14ac:dyDescent="0.3">
      <c r="A20" s="134" t="s">
        <v>123</v>
      </c>
      <c r="B20" s="134" t="s">
        <v>25</v>
      </c>
      <c r="C20" s="134" t="s">
        <v>56</v>
      </c>
      <c r="D20" s="134" t="s">
        <v>385</v>
      </c>
      <c r="E20" s="134" t="s">
        <v>181</v>
      </c>
      <c r="F20" s="134" t="s">
        <v>182</v>
      </c>
      <c r="G20" s="146"/>
      <c r="H20" s="135">
        <v>-25672113</v>
      </c>
      <c r="I20" s="137">
        <v>-25672113</v>
      </c>
    </row>
    <row r="21" spans="1:9" ht="23.25" thickBot="1" x14ac:dyDescent="0.3">
      <c r="A21" s="134" t="s">
        <v>123</v>
      </c>
      <c r="B21" s="134" t="s">
        <v>25</v>
      </c>
      <c r="C21" s="134" t="s">
        <v>56</v>
      </c>
      <c r="D21" s="134" t="s">
        <v>385</v>
      </c>
      <c r="E21" s="134" t="s">
        <v>190</v>
      </c>
      <c r="F21" s="134" t="s">
        <v>191</v>
      </c>
      <c r="G21" s="136">
        <v>-2525540</v>
      </c>
      <c r="H21" s="145"/>
      <c r="I21" s="137">
        <v>-2525540</v>
      </c>
    </row>
    <row r="22" spans="1:9" ht="23.25" thickBot="1" x14ac:dyDescent="0.3">
      <c r="A22" s="134" t="s">
        <v>123</v>
      </c>
      <c r="B22" s="134" t="s">
        <v>25</v>
      </c>
      <c r="C22" s="134" t="s">
        <v>56</v>
      </c>
      <c r="D22" s="134" t="s">
        <v>385</v>
      </c>
      <c r="E22" s="352" t="s">
        <v>64</v>
      </c>
      <c r="F22" s="353"/>
      <c r="G22" s="137">
        <v>-2525540</v>
      </c>
      <c r="H22" s="137">
        <v>-25672113</v>
      </c>
      <c r="I22" s="137">
        <v>-28197653</v>
      </c>
    </row>
    <row r="23" spans="1:9" ht="15.75" thickBot="1" x14ac:dyDescent="0.3">
      <c r="A23" s="134" t="s">
        <v>123</v>
      </c>
      <c r="B23" s="134" t="s">
        <v>25</v>
      </c>
      <c r="C23" s="352" t="s">
        <v>64</v>
      </c>
      <c r="D23" s="354"/>
      <c r="E23" s="354"/>
      <c r="F23" s="353"/>
      <c r="G23" s="137">
        <v>-2525540</v>
      </c>
      <c r="H23" s="137">
        <v>-25672113</v>
      </c>
      <c r="I23" s="137">
        <v>-28197653</v>
      </c>
    </row>
    <row r="24" spans="1:9" ht="23.25" thickBot="1" x14ac:dyDescent="0.3">
      <c r="A24" s="134" t="s">
        <v>131</v>
      </c>
      <c r="B24" s="134" t="s">
        <v>132</v>
      </c>
      <c r="C24" s="134" t="s">
        <v>56</v>
      </c>
      <c r="D24" s="134" t="s">
        <v>385</v>
      </c>
      <c r="E24" s="134" t="s">
        <v>181</v>
      </c>
      <c r="F24" s="134" t="s">
        <v>182</v>
      </c>
      <c r="G24" s="146"/>
      <c r="H24" s="135">
        <v>-107239012.62</v>
      </c>
      <c r="I24" s="137">
        <v>-107239012.62</v>
      </c>
    </row>
    <row r="25" spans="1:9" ht="23.25" thickBot="1" x14ac:dyDescent="0.3">
      <c r="A25" s="134" t="s">
        <v>131</v>
      </c>
      <c r="B25" s="134" t="s">
        <v>132</v>
      </c>
      <c r="C25" s="134" t="s">
        <v>56</v>
      </c>
      <c r="D25" s="134" t="s">
        <v>385</v>
      </c>
      <c r="E25" s="134" t="s">
        <v>190</v>
      </c>
      <c r="F25" s="134" t="s">
        <v>191</v>
      </c>
      <c r="G25" s="136">
        <v>-3847871.53</v>
      </c>
      <c r="H25" s="145"/>
      <c r="I25" s="137">
        <v>-3847871.53</v>
      </c>
    </row>
    <row r="26" spans="1:9" ht="23.25" thickBot="1" x14ac:dyDescent="0.3">
      <c r="A26" s="134" t="s">
        <v>131</v>
      </c>
      <c r="B26" s="134" t="s">
        <v>132</v>
      </c>
      <c r="C26" s="134" t="s">
        <v>56</v>
      </c>
      <c r="D26" s="134" t="s">
        <v>385</v>
      </c>
      <c r="E26" s="352" t="s">
        <v>64</v>
      </c>
      <c r="F26" s="353"/>
      <c r="G26" s="137">
        <v>-3847871.53</v>
      </c>
      <c r="H26" s="137">
        <v>-107239012.62</v>
      </c>
      <c r="I26" s="137">
        <v>-111086884.15000001</v>
      </c>
    </row>
    <row r="27" spans="1:9" ht="23.25" thickBot="1" x14ac:dyDescent="0.3">
      <c r="A27" s="134" t="s">
        <v>131</v>
      </c>
      <c r="B27" s="134" t="s">
        <v>132</v>
      </c>
      <c r="C27" s="352" t="s">
        <v>64</v>
      </c>
      <c r="D27" s="354"/>
      <c r="E27" s="354"/>
      <c r="F27" s="353"/>
      <c r="G27" s="137">
        <v>-3847871.53</v>
      </c>
      <c r="H27" s="137">
        <v>-107239012.62</v>
      </c>
      <c r="I27" s="137">
        <v>-111086884.15000001</v>
      </c>
    </row>
    <row r="28" spans="1:9" ht="23.25" thickBot="1" x14ac:dyDescent="0.3">
      <c r="A28" s="134" t="s">
        <v>139</v>
      </c>
      <c r="B28" s="134" t="s">
        <v>24</v>
      </c>
      <c r="C28" s="134" t="s">
        <v>56</v>
      </c>
      <c r="D28" s="134" t="s">
        <v>385</v>
      </c>
      <c r="E28" s="134" t="s">
        <v>181</v>
      </c>
      <c r="F28" s="134" t="s">
        <v>182</v>
      </c>
      <c r="G28" s="146"/>
      <c r="H28" s="135">
        <v>-2402677108.4099998</v>
      </c>
      <c r="I28" s="137">
        <v>-2402677108.4099998</v>
      </c>
    </row>
    <row r="29" spans="1:9" ht="23.25" thickBot="1" x14ac:dyDescent="0.3">
      <c r="A29" s="134" t="s">
        <v>139</v>
      </c>
      <c r="B29" s="134" t="s">
        <v>24</v>
      </c>
      <c r="C29" s="134" t="s">
        <v>56</v>
      </c>
      <c r="D29" s="134" t="s">
        <v>385</v>
      </c>
      <c r="E29" s="134" t="s">
        <v>190</v>
      </c>
      <c r="F29" s="134" t="s">
        <v>191</v>
      </c>
      <c r="G29" s="136">
        <v>-4604888</v>
      </c>
      <c r="H29" s="145"/>
      <c r="I29" s="137">
        <v>-4604888</v>
      </c>
    </row>
    <row r="30" spans="1:9" ht="23.25" thickBot="1" x14ac:dyDescent="0.3">
      <c r="A30" s="134" t="s">
        <v>139</v>
      </c>
      <c r="B30" s="134" t="s">
        <v>24</v>
      </c>
      <c r="C30" s="134" t="s">
        <v>56</v>
      </c>
      <c r="D30" s="134" t="s">
        <v>385</v>
      </c>
      <c r="E30" s="352" t="s">
        <v>64</v>
      </c>
      <c r="F30" s="353"/>
      <c r="G30" s="137">
        <v>-4604888</v>
      </c>
      <c r="H30" s="137">
        <v>-2402677108.4099998</v>
      </c>
      <c r="I30" s="137">
        <v>-2407281996.4099998</v>
      </c>
    </row>
    <row r="31" spans="1:9" ht="15.75" thickBot="1" x14ac:dyDescent="0.3">
      <c r="A31" s="134" t="s">
        <v>139</v>
      </c>
      <c r="B31" s="134" t="s">
        <v>24</v>
      </c>
      <c r="C31" s="352" t="s">
        <v>64</v>
      </c>
      <c r="D31" s="354"/>
      <c r="E31" s="354"/>
      <c r="F31" s="353"/>
      <c r="G31" s="137">
        <v>-4604888</v>
      </c>
      <c r="H31" s="137">
        <v>-2402677108.4099998</v>
      </c>
      <c r="I31" s="137">
        <v>-2407281996.4099998</v>
      </c>
    </row>
    <row r="32" spans="1:9" ht="15.75" thickBot="1" x14ac:dyDescent="0.3">
      <c r="A32" s="352" t="s">
        <v>104</v>
      </c>
      <c r="B32" s="354"/>
      <c r="C32" s="354"/>
      <c r="D32" s="354"/>
      <c r="E32" s="354"/>
      <c r="F32" s="353"/>
      <c r="G32" s="137">
        <v>-20918100.300000001</v>
      </c>
      <c r="H32" s="137">
        <v>-2863229643.7800002</v>
      </c>
      <c r="I32" s="137">
        <v>-2884147744.0799999</v>
      </c>
    </row>
    <row r="34" spans="1:11" ht="16.5" thickBot="1" x14ac:dyDescent="0.3">
      <c r="A34" s="138" t="s">
        <v>808</v>
      </c>
    </row>
    <row r="35" spans="1:11" ht="15.75" thickBot="1" x14ac:dyDescent="0.3">
      <c r="A35" s="347"/>
      <c r="B35" s="348"/>
      <c r="C35" s="348"/>
      <c r="D35" s="349"/>
      <c r="E35" s="140"/>
      <c r="F35" s="134" t="s">
        <v>95</v>
      </c>
    </row>
    <row r="36" spans="1:11" ht="23.25" thickBot="1" x14ac:dyDescent="0.3">
      <c r="A36" s="350" t="s">
        <v>94</v>
      </c>
      <c r="B36" s="351"/>
      <c r="C36" s="251" t="s">
        <v>209</v>
      </c>
      <c r="D36" s="134" t="s">
        <v>228</v>
      </c>
      <c r="E36" s="141"/>
      <c r="F36" s="140" t="s">
        <v>91</v>
      </c>
    </row>
    <row r="37" spans="1:11" ht="23.25" thickBot="1" x14ac:dyDescent="0.3">
      <c r="A37" s="139" t="s">
        <v>90</v>
      </c>
      <c r="B37" s="139" t="s">
        <v>89</v>
      </c>
      <c r="C37" s="133" t="s">
        <v>807</v>
      </c>
      <c r="D37" s="134" t="s">
        <v>236</v>
      </c>
      <c r="E37" s="134" t="s">
        <v>237</v>
      </c>
      <c r="F37" s="136">
        <v>564178.29</v>
      </c>
    </row>
    <row r="38" spans="1:11" ht="23.25" thickBot="1" x14ac:dyDescent="0.3">
      <c r="A38" s="139" t="s">
        <v>90</v>
      </c>
      <c r="B38" s="139" t="s">
        <v>89</v>
      </c>
      <c r="C38" s="133" t="s">
        <v>807</v>
      </c>
      <c r="D38" s="134" t="s">
        <v>245</v>
      </c>
      <c r="E38" s="134" t="s">
        <v>246</v>
      </c>
      <c r="F38" s="135">
        <v>4781988.0599999996</v>
      </c>
    </row>
    <row r="39" spans="1:11" ht="34.5" thickBot="1" x14ac:dyDescent="0.3">
      <c r="A39" s="139" t="s">
        <v>90</v>
      </c>
      <c r="B39" s="139" t="s">
        <v>89</v>
      </c>
      <c r="C39" s="133" t="s">
        <v>807</v>
      </c>
      <c r="D39" s="134" t="s">
        <v>281</v>
      </c>
      <c r="E39" s="134" t="s">
        <v>282</v>
      </c>
      <c r="F39" s="136">
        <v>6069867.8300000001</v>
      </c>
    </row>
    <row r="40" spans="1:11" ht="23.25" thickBot="1" x14ac:dyDescent="0.3">
      <c r="A40" s="139" t="s">
        <v>90</v>
      </c>
      <c r="B40" s="139" t="s">
        <v>89</v>
      </c>
      <c r="C40" s="133" t="s">
        <v>807</v>
      </c>
      <c r="D40" s="134" t="s">
        <v>327</v>
      </c>
      <c r="E40" s="134" t="s">
        <v>328</v>
      </c>
      <c r="F40" s="135">
        <v>5394921.1699999999</v>
      </c>
    </row>
    <row r="41" spans="1:11" ht="23.25" thickBot="1" x14ac:dyDescent="0.3">
      <c r="A41" s="139" t="s">
        <v>90</v>
      </c>
      <c r="B41" s="139" t="s">
        <v>89</v>
      </c>
      <c r="C41" s="133" t="s">
        <v>807</v>
      </c>
      <c r="D41" s="134" t="s">
        <v>230</v>
      </c>
      <c r="E41" s="134" t="s">
        <v>231</v>
      </c>
      <c r="F41" s="136">
        <f>+F43+F51</f>
        <v>7627972.1100000003</v>
      </c>
    </row>
    <row r="42" spans="1:11" ht="23.25" thickBot="1" x14ac:dyDescent="0.3">
      <c r="A42" s="139" t="s">
        <v>90</v>
      </c>
      <c r="B42" s="139" t="s">
        <v>89</v>
      </c>
      <c r="C42" s="133" t="s">
        <v>807</v>
      </c>
      <c r="D42" s="352" t="s">
        <v>64</v>
      </c>
      <c r="E42" s="353"/>
      <c r="F42" s="137">
        <f>SUM(F37:F41)</f>
        <v>24438927.460000001</v>
      </c>
    </row>
    <row r="43" spans="1:11" ht="23.25" thickBot="1" x14ac:dyDescent="0.3">
      <c r="A43" s="132" t="s">
        <v>54</v>
      </c>
      <c r="B43" s="133" t="s">
        <v>55</v>
      </c>
      <c r="C43" s="133" t="s">
        <v>807</v>
      </c>
      <c r="D43" s="134" t="s">
        <v>230</v>
      </c>
      <c r="E43" s="134" t="s">
        <v>231</v>
      </c>
      <c r="F43" s="136">
        <v>2990786.38</v>
      </c>
    </row>
    <row r="44" spans="1:11" ht="23.25" thickBot="1" x14ac:dyDescent="0.3">
      <c r="A44" s="132" t="s">
        <v>54</v>
      </c>
      <c r="B44" s="133" t="s">
        <v>55</v>
      </c>
      <c r="C44" s="133" t="s">
        <v>807</v>
      </c>
      <c r="D44" s="352" t="s">
        <v>64</v>
      </c>
      <c r="E44" s="353"/>
      <c r="F44" s="137">
        <v>2990786.38</v>
      </c>
      <c r="H44" s="350" t="s">
        <v>94</v>
      </c>
      <c r="I44" s="351"/>
      <c r="J44" s="134" t="s">
        <v>999</v>
      </c>
      <c r="K44" s="140" t="s">
        <v>91</v>
      </c>
    </row>
    <row r="45" spans="1:11" ht="23.25" thickBot="1" x14ac:dyDescent="0.3">
      <c r="A45" s="132" t="s">
        <v>65</v>
      </c>
      <c r="B45" s="133" t="s">
        <v>26</v>
      </c>
      <c r="C45" s="133" t="s">
        <v>807</v>
      </c>
      <c r="D45" s="134" t="s">
        <v>236</v>
      </c>
      <c r="E45" s="134" t="s">
        <v>237</v>
      </c>
      <c r="F45" s="136">
        <v>564178.29</v>
      </c>
      <c r="H45" s="139" t="s">
        <v>90</v>
      </c>
      <c r="I45" s="139" t="s">
        <v>89</v>
      </c>
      <c r="J45" s="134" t="s">
        <v>1008</v>
      </c>
      <c r="K45" s="136">
        <v>6674.89</v>
      </c>
    </row>
    <row r="46" spans="1:11" ht="23.25" thickBot="1" x14ac:dyDescent="0.3">
      <c r="A46" s="132" t="s">
        <v>65</v>
      </c>
      <c r="B46" s="133" t="s">
        <v>26</v>
      </c>
      <c r="C46" s="133" t="s">
        <v>807</v>
      </c>
      <c r="D46" s="352" t="s">
        <v>64</v>
      </c>
      <c r="E46" s="353"/>
      <c r="F46" s="137">
        <v>564178.29</v>
      </c>
    </row>
    <row r="47" spans="1:11" ht="23.25" thickBot="1" x14ac:dyDescent="0.3">
      <c r="A47" s="132" t="s">
        <v>66</v>
      </c>
      <c r="B47" s="133" t="s">
        <v>67</v>
      </c>
      <c r="C47" s="133" t="s">
        <v>807</v>
      </c>
      <c r="D47" s="134" t="s">
        <v>245</v>
      </c>
      <c r="E47" s="134" t="s">
        <v>246</v>
      </c>
      <c r="F47" s="136">
        <v>4781988.0599999996</v>
      </c>
    </row>
    <row r="48" spans="1:11" ht="23.25" thickBot="1" x14ac:dyDescent="0.3">
      <c r="A48" s="132" t="s">
        <v>66</v>
      </c>
      <c r="B48" s="133" t="s">
        <v>67</v>
      </c>
      <c r="C48" s="133" t="s">
        <v>807</v>
      </c>
      <c r="D48" s="352" t="s">
        <v>64</v>
      </c>
      <c r="E48" s="353"/>
      <c r="F48" s="137">
        <v>4781988.0599999996</v>
      </c>
    </row>
    <row r="49" spans="1:18" ht="34.5" thickBot="1" x14ac:dyDescent="0.3">
      <c r="A49" s="132" t="s">
        <v>72</v>
      </c>
      <c r="B49" s="133" t="s">
        <v>73</v>
      </c>
      <c r="C49" s="133" t="s">
        <v>807</v>
      </c>
      <c r="D49" s="134" t="s">
        <v>281</v>
      </c>
      <c r="E49" s="134" t="s">
        <v>282</v>
      </c>
      <c r="F49" s="135">
        <v>6069867.8300000001</v>
      </c>
    </row>
    <row r="50" spans="1:18" ht="23.25" thickBot="1" x14ac:dyDescent="0.3">
      <c r="A50" s="132" t="s">
        <v>72</v>
      </c>
      <c r="B50" s="133" t="s">
        <v>73</v>
      </c>
      <c r="C50" s="133" t="s">
        <v>807</v>
      </c>
      <c r="D50" s="352" t="s">
        <v>64</v>
      </c>
      <c r="E50" s="353"/>
      <c r="F50" s="137">
        <v>6069867.8300000001</v>
      </c>
    </row>
    <row r="51" spans="1:18" ht="23.25" thickBot="1" x14ac:dyDescent="0.3">
      <c r="A51" s="132" t="s">
        <v>76</v>
      </c>
      <c r="B51" s="133" t="s">
        <v>77</v>
      </c>
      <c r="C51" s="133" t="s">
        <v>807</v>
      </c>
      <c r="D51" s="134" t="s">
        <v>230</v>
      </c>
      <c r="E51" s="134" t="s">
        <v>231</v>
      </c>
      <c r="F51" s="136">
        <v>4637185.7300000004</v>
      </c>
    </row>
    <row r="52" spans="1:18" ht="23.25" thickBot="1" x14ac:dyDescent="0.3">
      <c r="A52" s="132" t="s">
        <v>76</v>
      </c>
      <c r="B52" s="133" t="s">
        <v>77</v>
      </c>
      <c r="C52" s="133" t="s">
        <v>807</v>
      </c>
      <c r="D52" s="352" t="s">
        <v>64</v>
      </c>
      <c r="E52" s="353"/>
      <c r="F52" s="137">
        <v>4637185.7300000004</v>
      </c>
    </row>
    <row r="53" spans="1:18" ht="23.25" thickBot="1" x14ac:dyDescent="0.3">
      <c r="A53" s="132" t="s">
        <v>80</v>
      </c>
      <c r="B53" s="133" t="s">
        <v>24</v>
      </c>
      <c r="C53" s="133" t="s">
        <v>807</v>
      </c>
      <c r="D53" s="134" t="s">
        <v>327</v>
      </c>
      <c r="E53" s="134" t="s">
        <v>328</v>
      </c>
      <c r="F53" s="136">
        <v>5394921.1699999999</v>
      </c>
    </row>
    <row r="54" spans="1:18" ht="23.25" thickBot="1" x14ac:dyDescent="0.3">
      <c r="A54" s="132" t="s">
        <v>80</v>
      </c>
      <c r="B54" s="133" t="s">
        <v>24</v>
      </c>
      <c r="C54" s="133" t="s">
        <v>807</v>
      </c>
      <c r="D54" s="352" t="s">
        <v>64</v>
      </c>
      <c r="E54" s="353"/>
      <c r="F54" s="137">
        <v>5394921.1699999999</v>
      </c>
      <c r="J54" s="250"/>
      <c r="K54" s="250"/>
      <c r="L54" s="250"/>
      <c r="M54" s="250"/>
      <c r="N54" s="250"/>
      <c r="O54" s="250"/>
      <c r="P54" s="250"/>
      <c r="Q54" s="250"/>
      <c r="R54" s="250"/>
    </row>
    <row r="55" spans="1:18" x14ac:dyDescent="0.25">
      <c r="J55" s="250"/>
      <c r="K55" s="250"/>
      <c r="L55" s="250"/>
      <c r="M55" s="250"/>
      <c r="N55" s="250"/>
      <c r="O55" s="250"/>
      <c r="P55" s="250"/>
      <c r="Q55" s="250"/>
      <c r="R55" s="250"/>
    </row>
    <row r="56" spans="1:18" s="250" customFormat="1" ht="16.5" thickBot="1" x14ac:dyDescent="0.3">
      <c r="A56" s="138" t="s">
        <v>669</v>
      </c>
    </row>
    <row r="57" spans="1:18" s="250" customFormat="1" ht="15.75" thickBot="1" x14ac:dyDescent="0.3">
      <c r="A57" s="347"/>
      <c r="B57" s="348"/>
      <c r="C57" s="348"/>
      <c r="D57" s="349"/>
      <c r="E57" s="140"/>
      <c r="F57" s="134" t="s">
        <v>95</v>
      </c>
    </row>
    <row r="58" spans="1:18" s="250" customFormat="1" ht="23.25" thickBot="1" x14ac:dyDescent="0.3">
      <c r="A58" s="350" t="s">
        <v>94</v>
      </c>
      <c r="B58" s="351"/>
      <c r="C58" s="134" t="s">
        <v>440</v>
      </c>
      <c r="D58" s="134" t="s">
        <v>228</v>
      </c>
      <c r="E58" s="141"/>
      <c r="F58" s="140" t="s">
        <v>91</v>
      </c>
    </row>
    <row r="59" spans="1:18" s="250" customFormat="1" ht="23.25" thickBot="1" x14ac:dyDescent="0.3">
      <c r="A59" s="139" t="s">
        <v>90</v>
      </c>
      <c r="B59" s="139" t="s">
        <v>89</v>
      </c>
      <c r="C59" s="134" t="s">
        <v>436</v>
      </c>
      <c r="D59" s="134" t="s">
        <v>670</v>
      </c>
      <c r="E59" s="134" t="s">
        <v>669</v>
      </c>
      <c r="F59" s="136">
        <v>362307.22</v>
      </c>
    </row>
    <row r="60" spans="1:18" s="250" customFormat="1" ht="15.75" thickBot="1" x14ac:dyDescent="0.3">
      <c r="A60" s="139" t="s">
        <v>90</v>
      </c>
      <c r="B60" s="139" t="s">
        <v>89</v>
      </c>
      <c r="C60" s="134" t="s">
        <v>436</v>
      </c>
      <c r="D60" s="352" t="s">
        <v>64</v>
      </c>
      <c r="E60" s="353"/>
      <c r="F60" s="137">
        <v>362307.22</v>
      </c>
    </row>
    <row r="61" spans="1:18" s="250" customFormat="1" ht="15.75" thickBot="1" x14ac:dyDescent="0.3">
      <c r="A61" s="139" t="s">
        <v>90</v>
      </c>
      <c r="B61" s="139" t="s">
        <v>89</v>
      </c>
      <c r="C61" s="352" t="s">
        <v>64</v>
      </c>
      <c r="D61" s="354"/>
      <c r="E61" s="353"/>
      <c r="F61" s="137">
        <v>362307.22</v>
      </c>
    </row>
    <row r="62" spans="1:18" s="250" customFormat="1" ht="23.25" thickBot="1" x14ac:dyDescent="0.3">
      <c r="A62" s="132" t="s">
        <v>72</v>
      </c>
      <c r="B62" s="133" t="s">
        <v>73</v>
      </c>
      <c r="C62" s="134" t="s">
        <v>436</v>
      </c>
      <c r="D62" s="134" t="s">
        <v>670</v>
      </c>
      <c r="E62" s="134" t="s">
        <v>669</v>
      </c>
      <c r="F62" s="135">
        <v>362307.22</v>
      </c>
    </row>
    <row r="63" spans="1:18" s="250" customFormat="1" ht="15.75" thickBot="1" x14ac:dyDescent="0.3">
      <c r="A63" s="132" t="s">
        <v>72</v>
      </c>
      <c r="B63" s="133" t="s">
        <v>73</v>
      </c>
      <c r="C63" s="134" t="s">
        <v>436</v>
      </c>
      <c r="D63" s="352" t="s">
        <v>64</v>
      </c>
      <c r="E63" s="353"/>
      <c r="F63" s="137">
        <v>362307.22</v>
      </c>
    </row>
    <row r="64" spans="1:18" s="250" customFormat="1" ht="15.75" thickBot="1" x14ac:dyDescent="0.3">
      <c r="A64" s="132" t="s">
        <v>72</v>
      </c>
      <c r="B64" s="133" t="s">
        <v>73</v>
      </c>
      <c r="C64" s="352" t="s">
        <v>64</v>
      </c>
      <c r="D64" s="354"/>
      <c r="E64" s="353"/>
      <c r="F64" s="137">
        <v>362307.22</v>
      </c>
      <c r="J64"/>
      <c r="K64"/>
      <c r="L64"/>
      <c r="M64"/>
      <c r="N64"/>
      <c r="O64"/>
      <c r="P64"/>
      <c r="Q64"/>
      <c r="R64"/>
    </row>
    <row r="65" spans="1:18" s="250" customFormat="1" x14ac:dyDescent="0.25">
      <c r="J65"/>
      <c r="K65"/>
      <c r="L65"/>
      <c r="M65"/>
      <c r="N65"/>
      <c r="O65"/>
      <c r="P65"/>
      <c r="Q65"/>
      <c r="R65"/>
    </row>
    <row r="66" spans="1:18" ht="15.75" thickBot="1" x14ac:dyDescent="0.3">
      <c r="A66" s="80" t="s">
        <v>1013</v>
      </c>
    </row>
    <row r="67" spans="1:18" ht="15.75" thickBot="1" x14ac:dyDescent="0.3">
      <c r="A67" s="347"/>
      <c r="B67" s="348"/>
      <c r="C67" s="349"/>
      <c r="D67" s="140"/>
      <c r="E67" s="134" t="s">
        <v>95</v>
      </c>
    </row>
    <row r="68" spans="1:18" ht="15.75" thickBot="1" x14ac:dyDescent="0.3">
      <c r="A68" s="350" t="s">
        <v>94</v>
      </c>
      <c r="B68" s="351"/>
      <c r="C68" s="134" t="s">
        <v>209</v>
      </c>
      <c r="D68" s="141"/>
      <c r="E68" s="140" t="s">
        <v>91</v>
      </c>
    </row>
    <row r="69" spans="1:18" ht="34.5" thickBot="1" x14ac:dyDescent="0.3">
      <c r="A69" s="139" t="s">
        <v>740</v>
      </c>
      <c r="B69" s="139" t="s">
        <v>741</v>
      </c>
      <c r="C69" s="134" t="s">
        <v>809</v>
      </c>
      <c r="D69" s="134" t="s">
        <v>810</v>
      </c>
      <c r="E69" s="136">
        <v>3653.17</v>
      </c>
      <c r="I69" s="321">
        <v>9009910</v>
      </c>
      <c r="J69" s="322" t="s">
        <v>731</v>
      </c>
      <c r="K69" s="323">
        <v>12947312</v>
      </c>
    </row>
    <row r="70" spans="1:18" ht="34.5" thickBot="1" x14ac:dyDescent="0.3">
      <c r="A70" s="139" t="s">
        <v>740</v>
      </c>
      <c r="B70" s="139" t="s">
        <v>741</v>
      </c>
      <c r="C70" s="134" t="s">
        <v>811</v>
      </c>
      <c r="D70" s="134" t="s">
        <v>812</v>
      </c>
      <c r="E70" s="135">
        <v>32.57</v>
      </c>
      <c r="I70" s="321">
        <v>9028343</v>
      </c>
      <c r="J70" s="324" t="s">
        <v>733</v>
      </c>
      <c r="K70" s="325">
        <v>460452</v>
      </c>
      <c r="L70" s="151"/>
    </row>
    <row r="71" spans="1:18" ht="23.25" thickBot="1" x14ac:dyDescent="0.3">
      <c r="A71" s="139" t="s">
        <v>740</v>
      </c>
      <c r="B71" s="139" t="s">
        <v>741</v>
      </c>
      <c r="C71" s="134" t="s">
        <v>813</v>
      </c>
      <c r="D71" s="134" t="s">
        <v>737</v>
      </c>
      <c r="E71" s="136">
        <v>1597369.26</v>
      </c>
      <c r="F71" s="151"/>
      <c r="I71" s="321">
        <v>9027404</v>
      </c>
      <c r="J71" s="324" t="s">
        <v>734</v>
      </c>
      <c r="K71" s="326">
        <v>169090</v>
      </c>
      <c r="L71" s="151"/>
    </row>
    <row r="72" spans="1:18" ht="23.25" thickBot="1" x14ac:dyDescent="0.3">
      <c r="A72" s="139" t="s">
        <v>740</v>
      </c>
      <c r="B72" s="139" t="s">
        <v>741</v>
      </c>
      <c r="C72" s="134" t="s">
        <v>814</v>
      </c>
      <c r="D72" s="134" t="s">
        <v>815</v>
      </c>
      <c r="E72" s="135">
        <v>24816.959999999999</v>
      </c>
      <c r="I72" s="321">
        <v>9010204</v>
      </c>
      <c r="J72" s="324" t="s">
        <v>735</v>
      </c>
      <c r="K72" s="325">
        <v>6668038</v>
      </c>
      <c r="L72" s="151"/>
    </row>
    <row r="73" spans="1:18" ht="45.75" thickBot="1" x14ac:dyDescent="0.3">
      <c r="A73" s="139" t="s">
        <v>740</v>
      </c>
      <c r="B73" s="139" t="s">
        <v>741</v>
      </c>
      <c r="C73" s="134" t="s">
        <v>816</v>
      </c>
      <c r="D73" s="134" t="s">
        <v>817</v>
      </c>
      <c r="E73" s="136">
        <v>2916</v>
      </c>
      <c r="I73" s="321">
        <v>9026522</v>
      </c>
      <c r="J73" s="324" t="s">
        <v>736</v>
      </c>
      <c r="K73" s="326">
        <v>4327771</v>
      </c>
      <c r="L73" s="151"/>
    </row>
    <row r="74" spans="1:18" ht="34.5" thickBot="1" x14ac:dyDescent="0.3">
      <c r="A74" s="139" t="s">
        <v>740</v>
      </c>
      <c r="B74" s="139" t="s">
        <v>741</v>
      </c>
      <c r="C74" s="134" t="s">
        <v>818</v>
      </c>
      <c r="D74" s="134" t="s">
        <v>819</v>
      </c>
      <c r="E74" s="135">
        <v>21013.4</v>
      </c>
      <c r="I74" s="321">
        <v>9000221</v>
      </c>
      <c r="J74" s="324" t="s">
        <v>737</v>
      </c>
      <c r="K74" s="325">
        <v>1597369</v>
      </c>
      <c r="L74" s="151"/>
    </row>
    <row r="75" spans="1:18" ht="23.25" thickBot="1" x14ac:dyDescent="0.3">
      <c r="A75" s="139" t="s">
        <v>740</v>
      </c>
      <c r="B75" s="139" t="s">
        <v>741</v>
      </c>
      <c r="C75" s="134" t="s">
        <v>820</v>
      </c>
      <c r="D75" s="134" t="s">
        <v>821</v>
      </c>
      <c r="E75" s="136">
        <v>1385.2</v>
      </c>
      <c r="I75" s="321">
        <v>9009294</v>
      </c>
      <c r="J75" s="324" t="s">
        <v>738</v>
      </c>
      <c r="K75" s="325">
        <v>1652299</v>
      </c>
      <c r="L75" s="151"/>
    </row>
    <row r="76" spans="1:18" ht="23.25" thickBot="1" x14ac:dyDescent="0.3">
      <c r="A76" s="139" t="s">
        <v>740</v>
      </c>
      <c r="B76" s="139" t="s">
        <v>741</v>
      </c>
      <c r="C76" s="134" t="s">
        <v>822</v>
      </c>
      <c r="D76" s="134" t="s">
        <v>495</v>
      </c>
      <c r="E76" s="135">
        <v>1222.29</v>
      </c>
      <c r="I76" s="327"/>
      <c r="J76" s="327"/>
      <c r="K76" s="327"/>
    </row>
    <row r="77" spans="1:18" ht="45.75" thickBot="1" x14ac:dyDescent="0.3">
      <c r="A77" s="139" t="s">
        <v>740</v>
      </c>
      <c r="B77" s="139" t="s">
        <v>741</v>
      </c>
      <c r="C77" s="134" t="s">
        <v>58</v>
      </c>
      <c r="D77" s="134" t="s">
        <v>59</v>
      </c>
      <c r="E77" s="136">
        <v>272.02</v>
      </c>
      <c r="I77" s="327"/>
      <c r="J77" s="327"/>
      <c r="K77" s="328">
        <v>27822331</v>
      </c>
    </row>
    <row r="78" spans="1:18" ht="57" thickBot="1" x14ac:dyDescent="0.3">
      <c r="A78" s="139" t="s">
        <v>740</v>
      </c>
      <c r="B78" s="139" t="s">
        <v>741</v>
      </c>
      <c r="C78" s="134" t="s">
        <v>823</v>
      </c>
      <c r="D78" s="134" t="s">
        <v>738</v>
      </c>
      <c r="E78" s="135">
        <v>1652299.43</v>
      </c>
      <c r="F78" s="151"/>
      <c r="I78" s="327"/>
      <c r="J78" s="327"/>
      <c r="K78" s="327"/>
    </row>
    <row r="79" spans="1:18" ht="57" thickBot="1" x14ac:dyDescent="0.3">
      <c r="A79" s="139" t="s">
        <v>740</v>
      </c>
      <c r="B79" s="139" t="s">
        <v>741</v>
      </c>
      <c r="C79" s="134" t="s">
        <v>824</v>
      </c>
      <c r="D79" s="134" t="s">
        <v>731</v>
      </c>
      <c r="E79" s="136">
        <v>12924643.550000001</v>
      </c>
      <c r="F79" s="151"/>
      <c r="G79" s="2">
        <f>+K69-E79</f>
        <v>22668.449999999255</v>
      </c>
      <c r="I79" s="329">
        <v>405282</v>
      </c>
      <c r="J79" s="319" t="s">
        <v>456</v>
      </c>
      <c r="K79" s="330">
        <v>-2123512</v>
      </c>
    </row>
    <row r="80" spans="1:18" ht="45.75" thickBot="1" x14ac:dyDescent="0.3">
      <c r="A80" s="139" t="s">
        <v>740</v>
      </c>
      <c r="B80" s="139" t="s">
        <v>741</v>
      </c>
      <c r="C80" s="134" t="s">
        <v>825</v>
      </c>
      <c r="D80" s="134" t="s">
        <v>735</v>
      </c>
      <c r="E80" s="135">
        <v>6668037.5</v>
      </c>
      <c r="F80" s="151"/>
      <c r="I80" s="331">
        <v>405284</v>
      </c>
      <c r="J80" s="284" t="s">
        <v>433</v>
      </c>
      <c r="K80" s="288">
        <v>-16419135</v>
      </c>
    </row>
    <row r="81" spans="1:11" ht="57" thickBot="1" x14ac:dyDescent="0.3">
      <c r="A81" s="139" t="s">
        <v>740</v>
      </c>
      <c r="B81" s="139" t="s">
        <v>741</v>
      </c>
      <c r="C81" s="134" t="s">
        <v>826</v>
      </c>
      <c r="D81" s="134" t="s">
        <v>736</v>
      </c>
      <c r="E81" s="136">
        <v>4327771.0599999996</v>
      </c>
      <c r="F81" s="151"/>
      <c r="I81" s="327"/>
      <c r="J81" s="327"/>
      <c r="K81" s="327"/>
    </row>
    <row r="82" spans="1:11" ht="45.75" thickBot="1" x14ac:dyDescent="0.3">
      <c r="A82" s="139" t="s">
        <v>740</v>
      </c>
      <c r="B82" s="139" t="s">
        <v>741</v>
      </c>
      <c r="C82" s="134" t="s">
        <v>827</v>
      </c>
      <c r="D82" s="134" t="s">
        <v>734</v>
      </c>
      <c r="E82" s="135">
        <v>169089.81</v>
      </c>
      <c r="F82" s="151"/>
      <c r="I82" s="327"/>
      <c r="J82" s="327"/>
      <c r="K82" s="328">
        <v>-18542647</v>
      </c>
    </row>
    <row r="83" spans="1:11" ht="34.5" thickBot="1" x14ac:dyDescent="0.3">
      <c r="A83" s="139" t="s">
        <v>740</v>
      </c>
      <c r="B83" s="139" t="s">
        <v>741</v>
      </c>
      <c r="C83" s="134" t="s">
        <v>828</v>
      </c>
      <c r="D83" s="134" t="s">
        <v>733</v>
      </c>
      <c r="E83" s="136">
        <v>460451.93</v>
      </c>
      <c r="F83" s="151"/>
    </row>
    <row r="84" spans="1:11" ht="23.25" thickBot="1" x14ac:dyDescent="0.3">
      <c r="A84" s="139" t="s">
        <v>740</v>
      </c>
      <c r="B84" s="139" t="s">
        <v>741</v>
      </c>
      <c r="C84" s="134" t="s">
        <v>230</v>
      </c>
      <c r="D84" s="134" t="s">
        <v>231</v>
      </c>
      <c r="E84" s="135">
        <v>-18516632.960000001</v>
      </c>
    </row>
    <row r="85" spans="1:11" ht="15.75" thickBot="1" x14ac:dyDescent="0.3">
      <c r="A85" s="139" t="s">
        <v>740</v>
      </c>
      <c r="B85" s="139" t="s">
        <v>741</v>
      </c>
      <c r="C85" s="352" t="s">
        <v>64</v>
      </c>
      <c r="D85" s="353"/>
      <c r="E85" s="137">
        <v>9338341.1899999995</v>
      </c>
      <c r="K85" s="332">
        <f>+K82+K77</f>
        <v>9279684</v>
      </c>
    </row>
    <row r="87" spans="1:11" ht="15.75" thickBot="1" x14ac:dyDescent="0.3">
      <c r="A87" s="80" t="s">
        <v>544</v>
      </c>
    </row>
    <row r="88" spans="1:11" ht="15.75" thickBot="1" x14ac:dyDescent="0.3">
      <c r="A88" s="213"/>
      <c r="B88" s="140"/>
      <c r="C88" s="134" t="s">
        <v>95</v>
      </c>
    </row>
    <row r="89" spans="1:11" ht="15.75" thickBot="1" x14ac:dyDescent="0.3">
      <c r="A89" s="134" t="s">
        <v>94</v>
      </c>
      <c r="B89" s="141"/>
      <c r="C89" s="140" t="s">
        <v>91</v>
      </c>
    </row>
    <row r="90" spans="1:11" ht="23.25" thickBot="1" x14ac:dyDescent="0.3">
      <c r="A90" s="139" t="s">
        <v>543</v>
      </c>
      <c r="B90" s="139" t="s">
        <v>542</v>
      </c>
      <c r="C90" s="257">
        <v>10418662.6</v>
      </c>
      <c r="F90" s="2">
        <f>+C90+E108+C98+C99+C100</f>
        <v>16893227.399999999</v>
      </c>
    </row>
    <row r="91" spans="1:11" ht="23.25" thickBot="1" x14ac:dyDescent="0.3">
      <c r="A91" s="132" t="s">
        <v>541</v>
      </c>
      <c r="B91" s="133" t="s">
        <v>540</v>
      </c>
      <c r="C91" s="135">
        <v>6372145.8499999996</v>
      </c>
    </row>
    <row r="92" spans="1:11" ht="23.25" thickBot="1" x14ac:dyDescent="0.3">
      <c r="A92" s="132" t="s">
        <v>539</v>
      </c>
      <c r="B92" s="133" t="s">
        <v>538</v>
      </c>
      <c r="C92" s="136">
        <v>764348.08</v>
      </c>
    </row>
    <row r="93" spans="1:11" ht="23.25" thickBot="1" x14ac:dyDescent="0.3">
      <c r="A93" s="132" t="s">
        <v>537</v>
      </c>
      <c r="B93" s="133" t="s">
        <v>536</v>
      </c>
      <c r="C93" s="135">
        <v>261407.74</v>
      </c>
    </row>
    <row r="94" spans="1:11" ht="23.25" thickBot="1" x14ac:dyDescent="0.3">
      <c r="A94" s="132" t="s">
        <v>535</v>
      </c>
      <c r="B94" s="133" t="s">
        <v>534</v>
      </c>
      <c r="C94" s="136">
        <v>96722.8</v>
      </c>
    </row>
    <row r="95" spans="1:11" ht="23.25" thickBot="1" x14ac:dyDescent="0.3">
      <c r="A95" s="132" t="s">
        <v>533</v>
      </c>
      <c r="B95" s="133" t="s">
        <v>532</v>
      </c>
      <c r="C95" s="135">
        <v>2924038.13</v>
      </c>
    </row>
    <row r="97" spans="1:8" s="309" customFormat="1" ht="15.75" thickBot="1" x14ac:dyDescent="0.3"/>
    <row r="98" spans="1:8" s="309" customFormat="1" ht="23.25" thickBot="1" x14ac:dyDescent="0.3">
      <c r="A98" s="132" t="s">
        <v>1014</v>
      </c>
      <c r="B98" s="133" t="s">
        <v>1015</v>
      </c>
      <c r="C98" s="307">
        <v>1106797.8</v>
      </c>
    </row>
    <row r="99" spans="1:8" s="318" customFormat="1" ht="15.75" thickBot="1" x14ac:dyDescent="0.3">
      <c r="A99" s="333"/>
      <c r="B99" s="335" t="s">
        <v>1026</v>
      </c>
      <c r="C99" s="307">
        <v>331575</v>
      </c>
    </row>
    <row r="100" spans="1:8" s="318" customFormat="1" ht="15.75" thickBot="1" x14ac:dyDescent="0.3">
      <c r="A100" s="333"/>
      <c r="B100" s="334" t="s">
        <v>1027</v>
      </c>
      <c r="C100" s="307">
        <v>24597</v>
      </c>
    </row>
    <row r="101" spans="1:8" s="309" customFormat="1" x14ac:dyDescent="0.25"/>
    <row r="102" spans="1:8" s="309" customFormat="1" ht="15.75" thickBot="1" x14ac:dyDescent="0.3"/>
    <row r="103" spans="1:8" ht="15.75" thickBot="1" x14ac:dyDescent="0.3">
      <c r="A103" s="347"/>
      <c r="B103" s="348"/>
      <c r="C103" s="349"/>
      <c r="D103" s="140"/>
      <c r="E103" s="134" t="s">
        <v>95</v>
      </c>
    </row>
    <row r="104" spans="1:8" ht="15.75" thickBot="1" x14ac:dyDescent="0.3">
      <c r="A104" s="350" t="s">
        <v>94</v>
      </c>
      <c r="B104" s="351"/>
      <c r="C104" s="134" t="s">
        <v>228</v>
      </c>
      <c r="D104" s="141"/>
      <c r="E104" s="140" t="s">
        <v>91</v>
      </c>
    </row>
    <row r="105" spans="1:8" ht="45.75" thickBot="1" x14ac:dyDescent="0.3">
      <c r="A105" s="139" t="s">
        <v>90</v>
      </c>
      <c r="B105" s="139" t="s">
        <v>89</v>
      </c>
      <c r="C105" s="134" t="s">
        <v>547</v>
      </c>
      <c r="D105" s="134" t="s">
        <v>548</v>
      </c>
      <c r="E105" s="136">
        <v>5011595</v>
      </c>
    </row>
    <row r="106" spans="1:8" ht="15.75" thickBot="1" x14ac:dyDescent="0.3">
      <c r="A106" s="139" t="s">
        <v>90</v>
      </c>
      <c r="B106" s="139" t="s">
        <v>89</v>
      </c>
      <c r="C106" s="352" t="s">
        <v>64</v>
      </c>
      <c r="D106" s="353"/>
      <c r="E106" s="137">
        <v>5011595</v>
      </c>
    </row>
    <row r="107" spans="1:8" ht="45.75" thickBot="1" x14ac:dyDescent="0.3">
      <c r="A107" s="132" t="s">
        <v>80</v>
      </c>
      <c r="B107" s="133" t="s">
        <v>24</v>
      </c>
      <c r="C107" s="134" t="s">
        <v>547</v>
      </c>
      <c r="D107" s="134" t="s">
        <v>548</v>
      </c>
      <c r="E107" s="136">
        <v>5011595</v>
      </c>
    </row>
    <row r="108" spans="1:8" ht="15.75" thickBot="1" x14ac:dyDescent="0.3">
      <c r="A108" s="132" t="s">
        <v>80</v>
      </c>
      <c r="B108" s="133" t="s">
        <v>24</v>
      </c>
      <c r="C108" s="352" t="s">
        <v>64</v>
      </c>
      <c r="D108" s="353"/>
      <c r="E108" s="137">
        <v>5011595</v>
      </c>
    </row>
    <row r="110" spans="1:8" ht="15.75" thickBot="1" x14ac:dyDescent="0.3">
      <c r="A110" s="80" t="s">
        <v>829</v>
      </c>
    </row>
    <row r="111" spans="1:8" ht="15.75" thickBot="1" x14ac:dyDescent="0.3">
      <c r="A111" s="347"/>
      <c r="B111" s="348"/>
      <c r="C111" s="349"/>
      <c r="D111" s="140"/>
      <c r="E111" s="134" t="s">
        <v>95</v>
      </c>
      <c r="F111" s="250" t="s">
        <v>582</v>
      </c>
      <c r="G111" s="250" t="s">
        <v>583</v>
      </c>
      <c r="H111" s="250"/>
    </row>
    <row r="112" spans="1:8" ht="15.75" thickBot="1" x14ac:dyDescent="0.3">
      <c r="A112" s="350" t="s">
        <v>94</v>
      </c>
      <c r="B112" s="351"/>
      <c r="C112" s="134" t="s">
        <v>228</v>
      </c>
      <c r="D112" s="141"/>
      <c r="E112" s="140" t="s">
        <v>91</v>
      </c>
      <c r="F112" s="151">
        <f>1-G112</f>
        <v>0.76746080988880594</v>
      </c>
      <c r="G112" s="250">
        <v>0.23253919011119409</v>
      </c>
      <c r="H112" s="250"/>
    </row>
    <row r="113" spans="1:16" ht="23.25" thickBot="1" x14ac:dyDescent="0.3">
      <c r="A113" s="139" t="s">
        <v>667</v>
      </c>
      <c r="B113" s="139" t="s">
        <v>666</v>
      </c>
      <c r="C113" s="134" t="s">
        <v>230</v>
      </c>
      <c r="D113" s="134" t="s">
        <v>231</v>
      </c>
      <c r="E113" s="136">
        <f>+E118</f>
        <v>1166770.8626047999</v>
      </c>
      <c r="F113" s="250"/>
      <c r="G113" s="2">
        <f>+H113-E113</f>
        <v>353529.38930493384</v>
      </c>
      <c r="H113" s="142">
        <f>+E113/F112</f>
        <v>1520300.2519097337</v>
      </c>
    </row>
    <row r="114" spans="1:16" ht="23.25" thickBot="1" x14ac:dyDescent="0.3">
      <c r="A114" s="139" t="s">
        <v>667</v>
      </c>
      <c r="B114" s="139" t="s">
        <v>666</v>
      </c>
      <c r="C114" s="352" t="s">
        <v>64</v>
      </c>
      <c r="D114" s="353"/>
      <c r="E114" s="137">
        <f>+E118</f>
        <v>1166770.8626047999</v>
      </c>
    </row>
    <row r="115" spans="1:16" ht="23.25" thickBot="1" x14ac:dyDescent="0.3">
      <c r="A115" s="132" t="s">
        <v>663</v>
      </c>
      <c r="B115" s="133" t="s">
        <v>662</v>
      </c>
      <c r="C115" s="134" t="s">
        <v>230</v>
      </c>
      <c r="D115" s="134" t="s">
        <v>231</v>
      </c>
      <c r="E115" s="136">
        <v>1158339.6200000001</v>
      </c>
    </row>
    <row r="116" spans="1:16" s="309" customFormat="1" ht="23.25" thickBot="1" x14ac:dyDescent="0.3">
      <c r="A116" s="306" t="s">
        <v>694</v>
      </c>
      <c r="B116" s="306" t="s">
        <v>681</v>
      </c>
      <c r="C116" s="306" t="s">
        <v>380</v>
      </c>
      <c r="E116" s="135">
        <v>2100</v>
      </c>
    </row>
    <row r="117" spans="1:16" s="336" customFormat="1" ht="15.75" thickBot="1" x14ac:dyDescent="0.3">
      <c r="A117" s="306"/>
      <c r="B117" s="306" t="s">
        <v>1032</v>
      </c>
      <c r="C117" s="337"/>
      <c r="E117" s="135">
        <f>+E118-E115</f>
        <v>8431.2426047998015</v>
      </c>
    </row>
    <row r="118" spans="1:16" ht="23.25" thickBot="1" x14ac:dyDescent="0.3">
      <c r="A118" s="132" t="s">
        <v>663</v>
      </c>
      <c r="B118" s="133" t="s">
        <v>662</v>
      </c>
      <c r="C118" s="352" t="s">
        <v>64</v>
      </c>
      <c r="D118" s="353"/>
      <c r="E118" s="137">
        <v>1166770.8626047999</v>
      </c>
      <c r="K118" s="309"/>
      <c r="L118" s="309"/>
      <c r="M118" s="309"/>
      <c r="N118" s="309"/>
      <c r="O118" s="309"/>
      <c r="P118" s="309"/>
    </row>
    <row r="120" spans="1:16" ht="15.75" thickBot="1" x14ac:dyDescent="0.3">
      <c r="A120" s="80" t="s">
        <v>830</v>
      </c>
    </row>
    <row r="121" spans="1:16" ht="15.75" thickBot="1" x14ac:dyDescent="0.3">
      <c r="A121" s="347"/>
      <c r="B121" s="349"/>
      <c r="C121" s="140"/>
      <c r="D121" s="134" t="s">
        <v>95</v>
      </c>
    </row>
    <row r="122" spans="1:16" ht="15.75" thickBot="1" x14ac:dyDescent="0.3">
      <c r="A122" s="350" t="s">
        <v>94</v>
      </c>
      <c r="B122" s="351"/>
      <c r="C122" s="134" t="s">
        <v>440</v>
      </c>
      <c r="D122" s="140" t="s">
        <v>91</v>
      </c>
    </row>
    <row r="123" spans="1:16" ht="15.75" thickBot="1" x14ac:dyDescent="0.3">
      <c r="A123" s="139" t="s">
        <v>90</v>
      </c>
      <c r="B123" s="139" t="s">
        <v>89</v>
      </c>
      <c r="C123" s="134" t="s">
        <v>161</v>
      </c>
      <c r="D123" s="136">
        <v>-2495.35</v>
      </c>
    </row>
    <row r="124" spans="1:16" ht="15.75" thickBot="1" x14ac:dyDescent="0.3">
      <c r="A124" s="139" t="s">
        <v>90</v>
      </c>
      <c r="B124" s="139" t="s">
        <v>89</v>
      </c>
      <c r="C124" s="143" t="s">
        <v>64</v>
      </c>
      <c r="D124" s="137">
        <v>-2495.35</v>
      </c>
    </row>
    <row r="125" spans="1:16" ht="15.75" thickBot="1" x14ac:dyDescent="0.3">
      <c r="A125" s="132" t="s">
        <v>54</v>
      </c>
      <c r="B125" s="133" t="s">
        <v>55</v>
      </c>
      <c r="C125" s="134" t="s">
        <v>161</v>
      </c>
      <c r="D125" s="136">
        <v>0</v>
      </c>
    </row>
    <row r="126" spans="1:16" ht="15.75" thickBot="1" x14ac:dyDescent="0.3">
      <c r="A126" s="132" t="s">
        <v>54</v>
      </c>
      <c r="B126" s="133" t="s">
        <v>55</v>
      </c>
      <c r="C126" s="143" t="s">
        <v>64</v>
      </c>
      <c r="D126" s="137">
        <v>0</v>
      </c>
    </row>
    <row r="127" spans="1:16" ht="15.75" thickBot="1" x14ac:dyDescent="0.3">
      <c r="A127" s="132" t="s">
        <v>65</v>
      </c>
      <c r="B127" s="133" t="s">
        <v>26</v>
      </c>
      <c r="C127" s="134" t="s">
        <v>161</v>
      </c>
      <c r="D127" s="136">
        <v>0</v>
      </c>
    </row>
    <row r="128" spans="1:16" ht="15.75" thickBot="1" x14ac:dyDescent="0.3">
      <c r="A128" s="132" t="s">
        <v>65</v>
      </c>
      <c r="B128" s="133" t="s">
        <v>26</v>
      </c>
      <c r="C128" s="143" t="s">
        <v>64</v>
      </c>
      <c r="D128" s="137">
        <v>0</v>
      </c>
    </row>
    <row r="129" spans="1:5" ht="15.75" thickBot="1" x14ac:dyDescent="0.3">
      <c r="A129" s="132" t="s">
        <v>88</v>
      </c>
      <c r="B129" s="133" t="s">
        <v>87</v>
      </c>
      <c r="C129" s="134" t="s">
        <v>161</v>
      </c>
      <c r="D129" s="136">
        <v>72532.56</v>
      </c>
    </row>
    <row r="130" spans="1:5" ht="15.75" thickBot="1" x14ac:dyDescent="0.3">
      <c r="A130" s="132" t="s">
        <v>88</v>
      </c>
      <c r="B130" s="133" t="s">
        <v>87</v>
      </c>
      <c r="C130" s="143" t="s">
        <v>64</v>
      </c>
      <c r="D130" s="137">
        <v>72532.56</v>
      </c>
    </row>
    <row r="131" spans="1:5" ht="15.75" thickBot="1" x14ac:dyDescent="0.3">
      <c r="A131" s="132" t="s">
        <v>66</v>
      </c>
      <c r="B131" s="133" t="s">
        <v>67</v>
      </c>
      <c r="C131" s="134" t="s">
        <v>161</v>
      </c>
      <c r="D131" s="136">
        <v>-4425.3999999999996</v>
      </c>
    </row>
    <row r="132" spans="1:5" ht="15.75" thickBot="1" x14ac:dyDescent="0.3">
      <c r="A132" s="132" t="s">
        <v>66</v>
      </c>
      <c r="B132" s="133" t="s">
        <v>67</v>
      </c>
      <c r="C132" s="143" t="s">
        <v>64</v>
      </c>
      <c r="D132" s="137">
        <v>-4425.3999999999996</v>
      </c>
    </row>
    <row r="133" spans="1:5" ht="15.75" thickBot="1" x14ac:dyDescent="0.3">
      <c r="A133" s="132" t="s">
        <v>72</v>
      </c>
      <c r="B133" s="133" t="s">
        <v>73</v>
      </c>
      <c r="C133" s="134" t="s">
        <v>161</v>
      </c>
      <c r="D133" s="136">
        <v>0</v>
      </c>
    </row>
    <row r="134" spans="1:5" ht="15.75" thickBot="1" x14ac:dyDescent="0.3">
      <c r="A134" s="132" t="s">
        <v>72</v>
      </c>
      <c r="B134" s="133" t="s">
        <v>73</v>
      </c>
      <c r="C134" s="143" t="s">
        <v>64</v>
      </c>
      <c r="D134" s="137">
        <v>0</v>
      </c>
    </row>
    <row r="135" spans="1:5" ht="15.75" thickBot="1" x14ac:dyDescent="0.3">
      <c r="A135" s="132" t="s">
        <v>76</v>
      </c>
      <c r="B135" s="133" t="s">
        <v>77</v>
      </c>
      <c r="C135" s="134" t="s">
        <v>161</v>
      </c>
      <c r="D135" s="136">
        <v>-48387.47</v>
      </c>
    </row>
    <row r="136" spans="1:5" ht="15.75" thickBot="1" x14ac:dyDescent="0.3">
      <c r="A136" s="132" t="s">
        <v>76</v>
      </c>
      <c r="B136" s="133" t="s">
        <v>77</v>
      </c>
      <c r="C136" s="143" t="s">
        <v>64</v>
      </c>
      <c r="D136" s="137">
        <v>-48387.47</v>
      </c>
    </row>
    <row r="137" spans="1:5" ht="15.75" thickBot="1" x14ac:dyDescent="0.3">
      <c r="A137" s="132" t="s">
        <v>80</v>
      </c>
      <c r="B137" s="133" t="s">
        <v>24</v>
      </c>
      <c r="C137" s="134" t="s">
        <v>161</v>
      </c>
      <c r="D137" s="136">
        <v>-22215.040000000001</v>
      </c>
    </row>
    <row r="138" spans="1:5" ht="15.75" thickBot="1" x14ac:dyDescent="0.3">
      <c r="A138" s="132" t="s">
        <v>80</v>
      </c>
      <c r="B138" s="133" t="s">
        <v>24</v>
      </c>
      <c r="C138" s="143" t="s">
        <v>64</v>
      </c>
      <c r="D138" s="137">
        <v>-22215.040000000001</v>
      </c>
    </row>
    <row r="140" spans="1:5" ht="15.75" thickBot="1" x14ac:dyDescent="0.3">
      <c r="A140" s="80" t="s">
        <v>636</v>
      </c>
    </row>
    <row r="141" spans="1:5" ht="15.75" thickBot="1" x14ac:dyDescent="0.3">
      <c r="A141" s="347"/>
      <c r="B141" s="348"/>
      <c r="C141" s="349"/>
      <c r="D141" s="140"/>
      <c r="E141" s="134" t="s">
        <v>95</v>
      </c>
    </row>
    <row r="142" spans="1:5" ht="15.75" thickBot="1" x14ac:dyDescent="0.3">
      <c r="A142" s="350" t="s">
        <v>94</v>
      </c>
      <c r="B142" s="351"/>
      <c r="C142" s="134" t="s">
        <v>209</v>
      </c>
      <c r="D142" s="141"/>
      <c r="E142" s="140" t="s">
        <v>91</v>
      </c>
    </row>
    <row r="143" spans="1:5" ht="23.25" thickBot="1" x14ac:dyDescent="0.3">
      <c r="A143" s="139" t="s">
        <v>90</v>
      </c>
      <c r="B143" s="139" t="s">
        <v>89</v>
      </c>
      <c r="C143" s="134" t="s">
        <v>610</v>
      </c>
      <c r="D143" s="134" t="s">
        <v>609</v>
      </c>
      <c r="E143" s="136">
        <v>9999924.9600000009</v>
      </c>
    </row>
    <row r="144" spans="1:5" ht="15.75" thickBot="1" x14ac:dyDescent="0.3">
      <c r="A144" s="139" t="s">
        <v>90</v>
      </c>
      <c r="B144" s="139" t="s">
        <v>89</v>
      </c>
      <c r="C144" s="352" t="s">
        <v>64</v>
      </c>
      <c r="D144" s="353"/>
      <c r="E144" s="137">
        <v>9999924.9600000009</v>
      </c>
    </row>
    <row r="145" spans="1:9" ht="23.25" thickBot="1" x14ac:dyDescent="0.3">
      <c r="A145" s="132" t="s">
        <v>54</v>
      </c>
      <c r="B145" s="133" t="s">
        <v>55</v>
      </c>
      <c r="C145" s="134" t="s">
        <v>610</v>
      </c>
      <c r="D145" s="134" t="s">
        <v>609</v>
      </c>
      <c r="E145" s="136">
        <v>1223388.2</v>
      </c>
    </row>
    <row r="146" spans="1:9" ht="15.75" thickBot="1" x14ac:dyDescent="0.3">
      <c r="A146" s="132" t="s">
        <v>54</v>
      </c>
      <c r="B146" s="133" t="s">
        <v>55</v>
      </c>
      <c r="C146" s="352" t="s">
        <v>64</v>
      </c>
      <c r="D146" s="353"/>
      <c r="E146" s="137">
        <v>1223388.2</v>
      </c>
      <c r="G146">
        <v>272.57000000006519</v>
      </c>
    </row>
    <row r="147" spans="1:9" ht="23.25" thickBot="1" x14ac:dyDescent="0.3">
      <c r="A147" s="132" t="s">
        <v>65</v>
      </c>
      <c r="B147" s="133" t="s">
        <v>26</v>
      </c>
      <c r="C147" s="134" t="s">
        <v>610</v>
      </c>
      <c r="D147" s="134" t="s">
        <v>609</v>
      </c>
      <c r="E147" s="136">
        <v>66267.02</v>
      </c>
    </row>
    <row r="148" spans="1:9" ht="15.75" thickBot="1" x14ac:dyDescent="0.3">
      <c r="A148" s="132" t="s">
        <v>65</v>
      </c>
      <c r="B148" s="133" t="s">
        <v>26</v>
      </c>
      <c r="C148" s="352" t="s">
        <v>64</v>
      </c>
      <c r="D148" s="353"/>
      <c r="E148" s="137">
        <v>66267.02</v>
      </c>
      <c r="G148">
        <v>65937.100000000006</v>
      </c>
      <c r="H148" s="2">
        <f>+E148-G148</f>
        <v>329.91999999999825</v>
      </c>
    </row>
    <row r="149" spans="1:9" ht="23.25" thickBot="1" x14ac:dyDescent="0.3">
      <c r="A149" s="132" t="s">
        <v>88</v>
      </c>
      <c r="B149" s="133" t="s">
        <v>87</v>
      </c>
      <c r="C149" s="134" t="s">
        <v>610</v>
      </c>
      <c r="D149" s="134" t="s">
        <v>609</v>
      </c>
      <c r="E149" s="136">
        <v>221937.85</v>
      </c>
    </row>
    <row r="150" spans="1:9" ht="15.75" thickBot="1" x14ac:dyDescent="0.3">
      <c r="A150" s="132" t="s">
        <v>88</v>
      </c>
      <c r="B150" s="133" t="s">
        <v>87</v>
      </c>
      <c r="C150" s="352" t="s">
        <v>64</v>
      </c>
      <c r="D150" s="353"/>
      <c r="E150" s="137">
        <v>221937.85</v>
      </c>
    </row>
    <row r="151" spans="1:9" ht="23.25" thickBot="1" x14ac:dyDescent="0.3">
      <c r="A151" s="132" t="s">
        <v>66</v>
      </c>
      <c r="B151" s="133" t="s">
        <v>67</v>
      </c>
      <c r="C151" s="134" t="s">
        <v>610</v>
      </c>
      <c r="D151" s="134" t="s">
        <v>609</v>
      </c>
      <c r="E151" s="136">
        <v>1967497.49</v>
      </c>
    </row>
    <row r="152" spans="1:9" ht="15.75" thickBot="1" x14ac:dyDescent="0.3">
      <c r="A152" s="132" t="s">
        <v>66</v>
      </c>
      <c r="B152" s="133" t="s">
        <v>67</v>
      </c>
      <c r="C152" s="352" t="s">
        <v>64</v>
      </c>
      <c r="D152" s="353"/>
      <c r="E152" s="137">
        <v>1967497.49</v>
      </c>
    </row>
    <row r="153" spans="1:9" ht="23.25" thickBot="1" x14ac:dyDescent="0.3">
      <c r="A153" s="132" t="s">
        <v>72</v>
      </c>
      <c r="B153" s="133" t="s">
        <v>73</v>
      </c>
      <c r="C153" s="134" t="s">
        <v>610</v>
      </c>
      <c r="D153" s="134" t="s">
        <v>609</v>
      </c>
      <c r="E153" s="136">
        <v>1110733.72</v>
      </c>
    </row>
    <row r="154" spans="1:9" ht="15.75" thickBot="1" x14ac:dyDescent="0.3">
      <c r="A154" s="132" t="s">
        <v>72</v>
      </c>
      <c r="B154" s="133" t="s">
        <v>73</v>
      </c>
      <c r="C154" s="352" t="s">
        <v>64</v>
      </c>
      <c r="D154" s="353"/>
      <c r="E154" s="137">
        <v>1110733.72</v>
      </c>
    </row>
    <row r="155" spans="1:9" ht="23.25" thickBot="1" x14ac:dyDescent="0.3">
      <c r="A155" s="132" t="s">
        <v>76</v>
      </c>
      <c r="B155" s="133" t="s">
        <v>77</v>
      </c>
      <c r="C155" s="134" t="s">
        <v>610</v>
      </c>
      <c r="D155" s="134" t="s">
        <v>609</v>
      </c>
      <c r="E155" s="136">
        <v>2060199.42</v>
      </c>
    </row>
    <row r="156" spans="1:9" ht="15.75" thickBot="1" x14ac:dyDescent="0.3">
      <c r="A156" s="132" t="s">
        <v>76</v>
      </c>
      <c r="B156" s="133" t="s">
        <v>77</v>
      </c>
      <c r="C156" s="352" t="s">
        <v>64</v>
      </c>
      <c r="D156" s="353"/>
      <c r="E156" s="137">
        <v>2060199.42</v>
      </c>
    </row>
    <row r="157" spans="1:9" ht="23.25" thickBot="1" x14ac:dyDescent="0.3">
      <c r="A157" s="132" t="s">
        <v>80</v>
      </c>
      <c r="B157" s="133" t="s">
        <v>24</v>
      </c>
      <c r="C157" s="134" t="s">
        <v>610</v>
      </c>
      <c r="D157" s="134" t="s">
        <v>609</v>
      </c>
      <c r="E157" s="136">
        <v>3349901.26</v>
      </c>
    </row>
    <row r="158" spans="1:9" ht="15.75" thickBot="1" x14ac:dyDescent="0.3">
      <c r="A158" s="132" t="s">
        <v>80</v>
      </c>
      <c r="B158" s="133" t="s">
        <v>24</v>
      </c>
      <c r="C158" s="352" t="s">
        <v>64</v>
      </c>
      <c r="D158" s="353"/>
      <c r="E158" s="137">
        <v>3349901.26</v>
      </c>
    </row>
    <row r="159" spans="1:9" ht="15.75" thickBot="1" x14ac:dyDescent="0.3"/>
    <row r="160" spans="1:9" ht="15.75" thickBot="1" x14ac:dyDescent="0.3">
      <c r="A160" s="347"/>
      <c r="B160" s="348"/>
      <c r="C160" s="348"/>
      <c r="D160" s="348"/>
      <c r="E160" s="348"/>
      <c r="F160" s="348"/>
      <c r="G160" s="349"/>
      <c r="H160" s="140"/>
      <c r="I160" s="134" t="s">
        <v>95</v>
      </c>
    </row>
    <row r="161" spans="1:9" ht="15.75" thickBot="1" x14ac:dyDescent="0.3">
      <c r="A161" s="350" t="s">
        <v>94</v>
      </c>
      <c r="B161" s="351"/>
      <c r="C161" s="134" t="s">
        <v>382</v>
      </c>
      <c r="D161" s="350" t="s">
        <v>92</v>
      </c>
      <c r="E161" s="351"/>
      <c r="F161" s="350" t="s">
        <v>209</v>
      </c>
      <c r="G161" s="351"/>
      <c r="H161" s="134" t="s">
        <v>229</v>
      </c>
      <c r="I161" s="140" t="s">
        <v>91</v>
      </c>
    </row>
    <row r="162" spans="1:9" ht="34.5" thickBot="1" x14ac:dyDescent="0.3">
      <c r="A162" s="139" t="s">
        <v>90</v>
      </c>
      <c r="B162" s="139" t="s">
        <v>89</v>
      </c>
      <c r="C162" s="134" t="s">
        <v>803</v>
      </c>
      <c r="D162" s="134" t="s">
        <v>598</v>
      </c>
      <c r="E162" s="134" t="s">
        <v>85</v>
      </c>
      <c r="F162" s="134" t="s">
        <v>831</v>
      </c>
      <c r="G162" s="134" t="s">
        <v>832</v>
      </c>
      <c r="H162" s="134" t="s">
        <v>833</v>
      </c>
      <c r="I162" s="136">
        <v>747.51</v>
      </c>
    </row>
    <row r="163" spans="1:9" ht="34.5" thickBot="1" x14ac:dyDescent="0.3">
      <c r="A163" s="139" t="s">
        <v>90</v>
      </c>
      <c r="B163" s="139" t="s">
        <v>89</v>
      </c>
      <c r="C163" s="134" t="s">
        <v>803</v>
      </c>
      <c r="D163" s="134" t="s">
        <v>598</v>
      </c>
      <c r="E163" s="134" t="s">
        <v>85</v>
      </c>
      <c r="F163" s="134" t="s">
        <v>831</v>
      </c>
      <c r="G163" s="134" t="s">
        <v>832</v>
      </c>
      <c r="H163" s="134" t="s">
        <v>834</v>
      </c>
      <c r="I163" s="135">
        <v>605.34</v>
      </c>
    </row>
    <row r="164" spans="1:9" ht="34.5" thickBot="1" x14ac:dyDescent="0.3">
      <c r="A164" s="139" t="s">
        <v>90</v>
      </c>
      <c r="B164" s="139" t="s">
        <v>89</v>
      </c>
      <c r="C164" s="134" t="s">
        <v>803</v>
      </c>
      <c r="D164" s="134" t="s">
        <v>598</v>
      </c>
      <c r="E164" s="134" t="s">
        <v>85</v>
      </c>
      <c r="F164" s="134" t="s">
        <v>629</v>
      </c>
      <c r="G164" s="134" t="s">
        <v>628</v>
      </c>
      <c r="H164" s="134" t="s">
        <v>835</v>
      </c>
      <c r="I164" s="136">
        <v>1766.7</v>
      </c>
    </row>
    <row r="165" spans="1:9" ht="34.5" thickBot="1" x14ac:dyDescent="0.3">
      <c r="A165" s="139" t="s">
        <v>90</v>
      </c>
      <c r="B165" s="139" t="s">
        <v>89</v>
      </c>
      <c r="C165" s="134" t="s">
        <v>803</v>
      </c>
      <c r="D165" s="134" t="s">
        <v>598</v>
      </c>
      <c r="E165" s="134" t="s">
        <v>85</v>
      </c>
      <c r="F165" s="134" t="s">
        <v>836</v>
      </c>
      <c r="G165" s="134" t="s">
        <v>837</v>
      </c>
      <c r="H165" s="134" t="s">
        <v>838</v>
      </c>
      <c r="I165" s="135">
        <v>3382.5</v>
      </c>
    </row>
    <row r="166" spans="1:9" ht="34.5" thickBot="1" x14ac:dyDescent="0.3">
      <c r="A166" s="139" t="s">
        <v>90</v>
      </c>
      <c r="B166" s="139" t="s">
        <v>89</v>
      </c>
      <c r="C166" s="134" t="s">
        <v>803</v>
      </c>
      <c r="D166" s="134" t="s">
        <v>598</v>
      </c>
      <c r="E166" s="134" t="s">
        <v>85</v>
      </c>
      <c r="F166" s="134" t="s">
        <v>836</v>
      </c>
      <c r="G166" s="134" t="s">
        <v>837</v>
      </c>
      <c r="H166" s="134" t="s">
        <v>833</v>
      </c>
      <c r="I166" s="136">
        <v>820</v>
      </c>
    </row>
    <row r="167" spans="1:9" ht="34.5" thickBot="1" x14ac:dyDescent="0.3">
      <c r="A167" s="139" t="s">
        <v>90</v>
      </c>
      <c r="B167" s="139" t="s">
        <v>89</v>
      </c>
      <c r="C167" s="134" t="s">
        <v>803</v>
      </c>
      <c r="D167" s="134" t="s">
        <v>598</v>
      </c>
      <c r="E167" s="134" t="s">
        <v>85</v>
      </c>
      <c r="F167" s="134" t="s">
        <v>839</v>
      </c>
      <c r="G167" s="134" t="s">
        <v>840</v>
      </c>
      <c r="H167" s="134" t="s">
        <v>841</v>
      </c>
      <c r="I167" s="135">
        <v>5008.79</v>
      </c>
    </row>
    <row r="168" spans="1:9" ht="34.5" thickBot="1" x14ac:dyDescent="0.3">
      <c r="A168" s="139" t="s">
        <v>90</v>
      </c>
      <c r="B168" s="139" t="s">
        <v>89</v>
      </c>
      <c r="C168" s="134" t="s">
        <v>803</v>
      </c>
      <c r="D168" s="134" t="s">
        <v>598</v>
      </c>
      <c r="E168" s="134" t="s">
        <v>85</v>
      </c>
      <c r="F168" s="134" t="s">
        <v>633</v>
      </c>
      <c r="G168" s="134" t="s">
        <v>632</v>
      </c>
      <c r="H168" s="134" t="s">
        <v>842</v>
      </c>
      <c r="I168" s="136">
        <v>550</v>
      </c>
    </row>
    <row r="169" spans="1:9" ht="34.5" thickBot="1" x14ac:dyDescent="0.3">
      <c r="A169" s="139" t="s">
        <v>90</v>
      </c>
      <c r="B169" s="139" t="s">
        <v>89</v>
      </c>
      <c r="C169" s="134" t="s">
        <v>803</v>
      </c>
      <c r="D169" s="134" t="s">
        <v>598</v>
      </c>
      <c r="E169" s="134" t="s">
        <v>85</v>
      </c>
      <c r="F169" s="134" t="s">
        <v>606</v>
      </c>
      <c r="G169" s="134" t="s">
        <v>605</v>
      </c>
      <c r="H169" s="134" t="s">
        <v>843</v>
      </c>
      <c r="I169" s="135">
        <v>471.02</v>
      </c>
    </row>
    <row r="170" spans="1:9" ht="34.5" thickBot="1" x14ac:dyDescent="0.3">
      <c r="A170" s="139" t="s">
        <v>90</v>
      </c>
      <c r="B170" s="139" t="s">
        <v>89</v>
      </c>
      <c r="C170" s="134" t="s">
        <v>803</v>
      </c>
      <c r="D170" s="134" t="s">
        <v>598</v>
      </c>
      <c r="E170" s="134" t="s">
        <v>85</v>
      </c>
      <c r="F170" s="134" t="s">
        <v>606</v>
      </c>
      <c r="G170" s="134" t="s">
        <v>605</v>
      </c>
      <c r="H170" s="134" t="s">
        <v>844</v>
      </c>
      <c r="I170" s="136">
        <v>1735.4</v>
      </c>
    </row>
    <row r="171" spans="1:9" ht="34.5" thickBot="1" x14ac:dyDescent="0.3">
      <c r="A171" s="139" t="s">
        <v>90</v>
      </c>
      <c r="B171" s="139" t="s">
        <v>89</v>
      </c>
      <c r="C171" s="134" t="s">
        <v>803</v>
      </c>
      <c r="D171" s="134" t="s">
        <v>598</v>
      </c>
      <c r="E171" s="134" t="s">
        <v>85</v>
      </c>
      <c r="F171" s="134" t="s">
        <v>625</v>
      </c>
      <c r="G171" s="134" t="s">
        <v>624</v>
      </c>
      <c r="H171" s="134" t="s">
        <v>845</v>
      </c>
      <c r="I171" s="135">
        <v>499</v>
      </c>
    </row>
    <row r="172" spans="1:9" ht="34.5" thickBot="1" x14ac:dyDescent="0.3">
      <c r="A172" s="139" t="s">
        <v>90</v>
      </c>
      <c r="B172" s="139" t="s">
        <v>89</v>
      </c>
      <c r="C172" s="134" t="s">
        <v>803</v>
      </c>
      <c r="D172" s="134" t="s">
        <v>598</v>
      </c>
      <c r="E172" s="134" t="s">
        <v>85</v>
      </c>
      <c r="F172" s="134" t="s">
        <v>625</v>
      </c>
      <c r="G172" s="134" t="s">
        <v>624</v>
      </c>
      <c r="H172" s="134" t="s">
        <v>846</v>
      </c>
      <c r="I172" s="136">
        <v>499</v>
      </c>
    </row>
    <row r="173" spans="1:9" ht="34.5" thickBot="1" x14ac:dyDescent="0.3">
      <c r="A173" s="139" t="s">
        <v>90</v>
      </c>
      <c r="B173" s="139" t="s">
        <v>89</v>
      </c>
      <c r="C173" s="134" t="s">
        <v>803</v>
      </c>
      <c r="D173" s="134" t="s">
        <v>598</v>
      </c>
      <c r="E173" s="134" t="s">
        <v>85</v>
      </c>
      <c r="F173" s="134" t="s">
        <v>625</v>
      </c>
      <c r="G173" s="134" t="s">
        <v>624</v>
      </c>
      <c r="H173" s="134" t="s">
        <v>847</v>
      </c>
      <c r="I173" s="135">
        <v>499</v>
      </c>
    </row>
    <row r="174" spans="1:9" ht="15.75" thickBot="1" x14ac:dyDescent="0.3">
      <c r="A174" s="139" t="s">
        <v>90</v>
      </c>
      <c r="B174" s="139" t="s">
        <v>89</v>
      </c>
      <c r="C174" s="352" t="s">
        <v>64</v>
      </c>
      <c r="D174" s="354"/>
      <c r="E174" s="354"/>
      <c r="F174" s="354"/>
      <c r="G174" s="354"/>
      <c r="H174" s="353"/>
      <c r="I174" s="137">
        <v>16584.259999999998</v>
      </c>
    </row>
    <row r="175" spans="1:9" ht="34.5" thickBot="1" x14ac:dyDescent="0.3">
      <c r="A175" s="132" t="s">
        <v>54</v>
      </c>
      <c r="B175" s="133" t="s">
        <v>55</v>
      </c>
      <c r="C175" s="134" t="s">
        <v>803</v>
      </c>
      <c r="D175" s="134" t="s">
        <v>598</v>
      </c>
      <c r="E175" s="134" t="s">
        <v>85</v>
      </c>
      <c r="F175" s="134" t="s">
        <v>839</v>
      </c>
      <c r="G175" s="134" t="s">
        <v>840</v>
      </c>
      <c r="H175" s="134" t="s">
        <v>841</v>
      </c>
      <c r="I175" s="135">
        <v>5008.79</v>
      </c>
    </row>
    <row r="176" spans="1:9" ht="34.5" thickBot="1" x14ac:dyDescent="0.3">
      <c r="A176" s="132" t="s">
        <v>54</v>
      </c>
      <c r="B176" s="133" t="s">
        <v>55</v>
      </c>
      <c r="C176" s="134" t="s">
        <v>803</v>
      </c>
      <c r="D176" s="134" t="s">
        <v>598</v>
      </c>
      <c r="E176" s="134" t="s">
        <v>85</v>
      </c>
      <c r="F176" s="134" t="s">
        <v>606</v>
      </c>
      <c r="G176" s="134" t="s">
        <v>605</v>
      </c>
      <c r="H176" s="134" t="s">
        <v>843</v>
      </c>
      <c r="I176" s="136">
        <v>471.02</v>
      </c>
    </row>
    <row r="177" spans="1:9" ht="15.75" thickBot="1" x14ac:dyDescent="0.3">
      <c r="A177" s="132" t="s">
        <v>54</v>
      </c>
      <c r="B177" s="133" t="s">
        <v>55</v>
      </c>
      <c r="C177" s="352" t="s">
        <v>64</v>
      </c>
      <c r="D177" s="354"/>
      <c r="E177" s="354"/>
      <c r="F177" s="354"/>
      <c r="G177" s="354"/>
      <c r="H177" s="353"/>
      <c r="I177" s="137">
        <v>5479.81</v>
      </c>
    </row>
    <row r="178" spans="1:9" ht="34.5" thickBot="1" x14ac:dyDescent="0.3">
      <c r="A178" s="132" t="s">
        <v>66</v>
      </c>
      <c r="B178" s="133" t="s">
        <v>67</v>
      </c>
      <c r="C178" s="134" t="s">
        <v>803</v>
      </c>
      <c r="D178" s="134" t="s">
        <v>598</v>
      </c>
      <c r="E178" s="134" t="s">
        <v>85</v>
      </c>
      <c r="F178" s="134" t="s">
        <v>633</v>
      </c>
      <c r="G178" s="134" t="s">
        <v>632</v>
      </c>
      <c r="H178" s="134" t="s">
        <v>842</v>
      </c>
      <c r="I178" s="136">
        <v>550</v>
      </c>
    </row>
    <row r="179" spans="1:9" ht="15.75" thickBot="1" x14ac:dyDescent="0.3">
      <c r="A179" s="132" t="s">
        <v>66</v>
      </c>
      <c r="B179" s="133" t="s">
        <v>67</v>
      </c>
      <c r="C179" s="352" t="s">
        <v>64</v>
      </c>
      <c r="D179" s="354"/>
      <c r="E179" s="354"/>
      <c r="F179" s="354"/>
      <c r="G179" s="354"/>
      <c r="H179" s="353"/>
      <c r="I179" s="137">
        <v>550</v>
      </c>
    </row>
    <row r="180" spans="1:9" ht="34.5" thickBot="1" x14ac:dyDescent="0.3">
      <c r="A180" s="132" t="s">
        <v>76</v>
      </c>
      <c r="B180" s="133" t="s">
        <v>77</v>
      </c>
      <c r="C180" s="134" t="s">
        <v>803</v>
      </c>
      <c r="D180" s="134" t="s">
        <v>598</v>
      </c>
      <c r="E180" s="134" t="s">
        <v>85</v>
      </c>
      <c r="F180" s="134" t="s">
        <v>606</v>
      </c>
      <c r="G180" s="134" t="s">
        <v>605</v>
      </c>
      <c r="H180" s="134" t="s">
        <v>844</v>
      </c>
      <c r="I180" s="136">
        <v>743.8</v>
      </c>
    </row>
    <row r="181" spans="1:9" ht="34.5" thickBot="1" x14ac:dyDescent="0.3">
      <c r="A181" s="132" t="s">
        <v>76</v>
      </c>
      <c r="B181" s="133" t="s">
        <v>77</v>
      </c>
      <c r="C181" s="134" t="s">
        <v>803</v>
      </c>
      <c r="D181" s="134" t="s">
        <v>598</v>
      </c>
      <c r="E181" s="134" t="s">
        <v>85</v>
      </c>
      <c r="F181" s="134" t="s">
        <v>625</v>
      </c>
      <c r="G181" s="134" t="s">
        <v>624</v>
      </c>
      <c r="H181" s="134" t="s">
        <v>845</v>
      </c>
      <c r="I181" s="135">
        <v>499</v>
      </c>
    </row>
    <row r="182" spans="1:9" ht="34.5" thickBot="1" x14ac:dyDescent="0.3">
      <c r="A182" s="132" t="s">
        <v>76</v>
      </c>
      <c r="B182" s="133" t="s">
        <v>77</v>
      </c>
      <c r="C182" s="134" t="s">
        <v>803</v>
      </c>
      <c r="D182" s="134" t="s">
        <v>598</v>
      </c>
      <c r="E182" s="134" t="s">
        <v>85</v>
      </c>
      <c r="F182" s="134" t="s">
        <v>625</v>
      </c>
      <c r="G182" s="134" t="s">
        <v>624</v>
      </c>
      <c r="H182" s="134" t="s">
        <v>846</v>
      </c>
      <c r="I182" s="136">
        <v>499</v>
      </c>
    </row>
    <row r="183" spans="1:9" ht="34.5" thickBot="1" x14ac:dyDescent="0.3">
      <c r="A183" s="132" t="s">
        <v>76</v>
      </c>
      <c r="B183" s="133" t="s">
        <v>77</v>
      </c>
      <c r="C183" s="134" t="s">
        <v>803</v>
      </c>
      <c r="D183" s="134" t="s">
        <v>598</v>
      </c>
      <c r="E183" s="134" t="s">
        <v>85</v>
      </c>
      <c r="F183" s="134" t="s">
        <v>625</v>
      </c>
      <c r="G183" s="134" t="s">
        <v>624</v>
      </c>
      <c r="H183" s="134" t="s">
        <v>847</v>
      </c>
      <c r="I183" s="135">
        <v>499</v>
      </c>
    </row>
    <row r="184" spans="1:9" ht="15.75" thickBot="1" x14ac:dyDescent="0.3">
      <c r="A184" s="132" t="s">
        <v>76</v>
      </c>
      <c r="B184" s="133" t="s">
        <v>77</v>
      </c>
      <c r="C184" s="352" t="s">
        <v>64</v>
      </c>
      <c r="D184" s="354"/>
      <c r="E184" s="354"/>
      <c r="F184" s="354"/>
      <c r="G184" s="354"/>
      <c r="H184" s="353"/>
      <c r="I184" s="137">
        <v>2240.8000000000002</v>
      </c>
    </row>
    <row r="185" spans="1:9" ht="34.5" thickBot="1" x14ac:dyDescent="0.3">
      <c r="A185" s="132" t="s">
        <v>80</v>
      </c>
      <c r="B185" s="133" t="s">
        <v>24</v>
      </c>
      <c r="C185" s="134" t="s">
        <v>803</v>
      </c>
      <c r="D185" s="134" t="s">
        <v>598</v>
      </c>
      <c r="E185" s="134" t="s">
        <v>85</v>
      </c>
      <c r="F185" s="134" t="s">
        <v>831</v>
      </c>
      <c r="G185" s="134" t="s">
        <v>832</v>
      </c>
      <c r="H185" s="134" t="s">
        <v>833</v>
      </c>
      <c r="I185" s="135">
        <v>747.51</v>
      </c>
    </row>
    <row r="186" spans="1:9" ht="34.5" thickBot="1" x14ac:dyDescent="0.3">
      <c r="A186" s="132" t="s">
        <v>80</v>
      </c>
      <c r="B186" s="133" t="s">
        <v>24</v>
      </c>
      <c r="C186" s="134" t="s">
        <v>803</v>
      </c>
      <c r="D186" s="134" t="s">
        <v>598</v>
      </c>
      <c r="E186" s="134" t="s">
        <v>85</v>
      </c>
      <c r="F186" s="134" t="s">
        <v>831</v>
      </c>
      <c r="G186" s="134" t="s">
        <v>832</v>
      </c>
      <c r="H186" s="134" t="s">
        <v>834</v>
      </c>
      <c r="I186" s="136">
        <v>605.34</v>
      </c>
    </row>
    <row r="187" spans="1:9" ht="34.5" thickBot="1" x14ac:dyDescent="0.3">
      <c r="A187" s="132" t="s">
        <v>80</v>
      </c>
      <c r="B187" s="133" t="s">
        <v>24</v>
      </c>
      <c r="C187" s="134" t="s">
        <v>803</v>
      </c>
      <c r="D187" s="134" t="s">
        <v>598</v>
      </c>
      <c r="E187" s="134" t="s">
        <v>85</v>
      </c>
      <c r="F187" s="134" t="s">
        <v>629</v>
      </c>
      <c r="G187" s="134" t="s">
        <v>628</v>
      </c>
      <c r="H187" s="134" t="s">
        <v>835</v>
      </c>
      <c r="I187" s="135">
        <v>1766.7</v>
      </c>
    </row>
    <row r="188" spans="1:9" ht="34.5" thickBot="1" x14ac:dyDescent="0.3">
      <c r="A188" s="132" t="s">
        <v>80</v>
      </c>
      <c r="B188" s="133" t="s">
        <v>24</v>
      </c>
      <c r="C188" s="134" t="s">
        <v>803</v>
      </c>
      <c r="D188" s="134" t="s">
        <v>598</v>
      </c>
      <c r="E188" s="134" t="s">
        <v>85</v>
      </c>
      <c r="F188" s="134" t="s">
        <v>836</v>
      </c>
      <c r="G188" s="134" t="s">
        <v>837</v>
      </c>
      <c r="H188" s="134" t="s">
        <v>838</v>
      </c>
      <c r="I188" s="136">
        <v>3382.5</v>
      </c>
    </row>
    <row r="189" spans="1:9" ht="34.5" thickBot="1" x14ac:dyDescent="0.3">
      <c r="A189" s="132" t="s">
        <v>80</v>
      </c>
      <c r="B189" s="133" t="s">
        <v>24</v>
      </c>
      <c r="C189" s="134" t="s">
        <v>803</v>
      </c>
      <c r="D189" s="134" t="s">
        <v>598</v>
      </c>
      <c r="E189" s="134" t="s">
        <v>85</v>
      </c>
      <c r="F189" s="134" t="s">
        <v>836</v>
      </c>
      <c r="G189" s="134" t="s">
        <v>837</v>
      </c>
      <c r="H189" s="134" t="s">
        <v>833</v>
      </c>
      <c r="I189" s="135">
        <v>820</v>
      </c>
    </row>
    <row r="190" spans="1:9" ht="34.5" thickBot="1" x14ac:dyDescent="0.3">
      <c r="A190" s="132" t="s">
        <v>80</v>
      </c>
      <c r="B190" s="133" t="s">
        <v>24</v>
      </c>
      <c r="C190" s="134" t="s">
        <v>803</v>
      </c>
      <c r="D190" s="134" t="s">
        <v>598</v>
      </c>
      <c r="E190" s="134" t="s">
        <v>85</v>
      </c>
      <c r="F190" s="134" t="s">
        <v>606</v>
      </c>
      <c r="G190" s="134" t="s">
        <v>605</v>
      </c>
      <c r="H190" s="134" t="s">
        <v>844</v>
      </c>
      <c r="I190" s="136">
        <v>991.6</v>
      </c>
    </row>
    <row r="191" spans="1:9" ht="15.75" thickBot="1" x14ac:dyDescent="0.3">
      <c r="A191" s="132" t="s">
        <v>80</v>
      </c>
      <c r="B191" s="133" t="s">
        <v>24</v>
      </c>
      <c r="C191" s="352" t="s">
        <v>64</v>
      </c>
      <c r="D191" s="354"/>
      <c r="E191" s="354"/>
      <c r="F191" s="354"/>
      <c r="G191" s="354"/>
      <c r="H191" s="353"/>
      <c r="I191" s="137">
        <v>8313.65</v>
      </c>
    </row>
    <row r="193" spans="1:8" ht="15.75" thickBot="1" x14ac:dyDescent="0.3">
      <c r="A193" s="80" t="s">
        <v>425</v>
      </c>
    </row>
    <row r="194" spans="1:8" ht="15.75" thickBot="1" x14ac:dyDescent="0.3">
      <c r="A194" s="347"/>
      <c r="B194" s="348"/>
      <c r="C194" s="348"/>
      <c r="D194" s="348"/>
      <c r="E194" s="348"/>
      <c r="F194" s="349"/>
      <c r="G194" s="140"/>
      <c r="H194" s="134" t="s">
        <v>95</v>
      </c>
    </row>
    <row r="195" spans="1:8" ht="15.75" thickBot="1" x14ac:dyDescent="0.3">
      <c r="A195" s="350" t="s">
        <v>94</v>
      </c>
      <c r="B195" s="351"/>
      <c r="C195" s="350" t="s">
        <v>101</v>
      </c>
      <c r="D195" s="351"/>
      <c r="E195" s="350" t="s">
        <v>92</v>
      </c>
      <c r="F195" s="351"/>
      <c r="G195" s="134" t="s">
        <v>229</v>
      </c>
      <c r="H195" s="140" t="s">
        <v>91</v>
      </c>
    </row>
    <row r="196" spans="1:8" ht="45.75" thickBot="1" x14ac:dyDescent="0.3">
      <c r="A196" s="139" t="s">
        <v>90</v>
      </c>
      <c r="B196" s="139" t="s">
        <v>89</v>
      </c>
      <c r="C196" s="134" t="s">
        <v>218</v>
      </c>
      <c r="D196" s="134" t="s">
        <v>387</v>
      </c>
      <c r="E196" s="134" t="s">
        <v>848</v>
      </c>
      <c r="F196" s="134" t="s">
        <v>849</v>
      </c>
      <c r="G196" s="134" t="s">
        <v>850</v>
      </c>
      <c r="H196" s="136">
        <v>-2475000</v>
      </c>
    </row>
    <row r="197" spans="1:8" ht="45.75" thickBot="1" x14ac:dyDescent="0.3">
      <c r="A197" s="139" t="s">
        <v>90</v>
      </c>
      <c r="B197" s="139" t="s">
        <v>89</v>
      </c>
      <c r="C197" s="134" t="s">
        <v>218</v>
      </c>
      <c r="D197" s="134" t="s">
        <v>387</v>
      </c>
      <c r="E197" s="134" t="s">
        <v>848</v>
      </c>
      <c r="F197" s="134" t="s">
        <v>849</v>
      </c>
      <c r="G197" s="134" t="s">
        <v>851</v>
      </c>
      <c r="H197" s="135">
        <v>-2475000</v>
      </c>
    </row>
    <row r="198" spans="1:8" ht="45.75" thickBot="1" x14ac:dyDescent="0.3">
      <c r="A198" s="139" t="s">
        <v>90</v>
      </c>
      <c r="B198" s="139" t="s">
        <v>89</v>
      </c>
      <c r="C198" s="134" t="s">
        <v>218</v>
      </c>
      <c r="D198" s="134" t="s">
        <v>387</v>
      </c>
      <c r="E198" s="134" t="s">
        <v>848</v>
      </c>
      <c r="F198" s="134" t="s">
        <v>849</v>
      </c>
      <c r="G198" s="134" t="s">
        <v>852</v>
      </c>
      <c r="H198" s="136">
        <v>-2475000</v>
      </c>
    </row>
    <row r="199" spans="1:8" ht="45.75" thickBot="1" x14ac:dyDescent="0.3">
      <c r="A199" s="139" t="s">
        <v>90</v>
      </c>
      <c r="B199" s="139" t="s">
        <v>89</v>
      </c>
      <c r="C199" s="134" t="s">
        <v>218</v>
      </c>
      <c r="D199" s="134" t="s">
        <v>387</v>
      </c>
      <c r="E199" s="134" t="s">
        <v>848</v>
      </c>
      <c r="F199" s="134" t="s">
        <v>849</v>
      </c>
      <c r="G199" s="134" t="s">
        <v>853</v>
      </c>
      <c r="H199" s="135">
        <v>-2475000</v>
      </c>
    </row>
    <row r="200" spans="1:8" ht="34.5" thickBot="1" x14ac:dyDescent="0.3">
      <c r="A200" s="139" t="s">
        <v>90</v>
      </c>
      <c r="B200" s="139" t="s">
        <v>89</v>
      </c>
      <c r="C200" s="134" t="s">
        <v>218</v>
      </c>
      <c r="D200" s="134" t="s">
        <v>387</v>
      </c>
      <c r="E200" s="134" t="s">
        <v>848</v>
      </c>
      <c r="F200" s="134" t="s">
        <v>854</v>
      </c>
      <c r="G200" s="134" t="s">
        <v>855</v>
      </c>
      <c r="H200" s="136">
        <v>-15507754.220000001</v>
      </c>
    </row>
    <row r="201" spans="1:8" ht="34.5" thickBot="1" x14ac:dyDescent="0.3">
      <c r="A201" s="139" t="s">
        <v>90</v>
      </c>
      <c r="B201" s="139" t="s">
        <v>89</v>
      </c>
      <c r="C201" s="134" t="s">
        <v>218</v>
      </c>
      <c r="D201" s="134" t="s">
        <v>387</v>
      </c>
      <c r="E201" s="134" t="s">
        <v>848</v>
      </c>
      <c r="F201" s="134" t="s">
        <v>854</v>
      </c>
      <c r="G201" s="134" t="s">
        <v>856</v>
      </c>
      <c r="H201" s="135">
        <v>-15132754.220000001</v>
      </c>
    </row>
    <row r="202" spans="1:8" ht="34.5" thickBot="1" x14ac:dyDescent="0.3">
      <c r="A202" s="139" t="s">
        <v>90</v>
      </c>
      <c r="B202" s="139" t="s">
        <v>89</v>
      </c>
      <c r="C202" s="134" t="s">
        <v>218</v>
      </c>
      <c r="D202" s="134" t="s">
        <v>387</v>
      </c>
      <c r="E202" s="134" t="s">
        <v>848</v>
      </c>
      <c r="F202" s="134" t="s">
        <v>854</v>
      </c>
      <c r="G202" s="134" t="s">
        <v>857</v>
      </c>
      <c r="H202" s="136">
        <v>-375000</v>
      </c>
    </row>
    <row r="203" spans="1:8" ht="45.75" thickBot="1" x14ac:dyDescent="0.3">
      <c r="A203" s="139" t="s">
        <v>90</v>
      </c>
      <c r="B203" s="139" t="s">
        <v>89</v>
      </c>
      <c r="C203" s="134" t="s">
        <v>218</v>
      </c>
      <c r="D203" s="134" t="s">
        <v>387</v>
      </c>
      <c r="E203" s="134" t="s">
        <v>848</v>
      </c>
      <c r="F203" s="134" t="s">
        <v>854</v>
      </c>
      <c r="G203" s="134" t="s">
        <v>858</v>
      </c>
      <c r="H203" s="135">
        <v>-30224049.66</v>
      </c>
    </row>
    <row r="204" spans="1:8" ht="34.5" thickBot="1" x14ac:dyDescent="0.3">
      <c r="A204" s="139" t="s">
        <v>90</v>
      </c>
      <c r="B204" s="139" t="s">
        <v>89</v>
      </c>
      <c r="C204" s="134" t="s">
        <v>218</v>
      </c>
      <c r="D204" s="134" t="s">
        <v>387</v>
      </c>
      <c r="E204" s="134" t="s">
        <v>848</v>
      </c>
      <c r="F204" s="134" t="s">
        <v>854</v>
      </c>
      <c r="G204" s="134" t="s">
        <v>859</v>
      </c>
      <c r="H204" s="136">
        <v>-7175000</v>
      </c>
    </row>
    <row r="205" spans="1:8" ht="34.5" thickBot="1" x14ac:dyDescent="0.3">
      <c r="A205" s="139" t="s">
        <v>90</v>
      </c>
      <c r="B205" s="139" t="s">
        <v>89</v>
      </c>
      <c r="C205" s="134" t="s">
        <v>218</v>
      </c>
      <c r="D205" s="134" t="s">
        <v>387</v>
      </c>
      <c r="E205" s="134" t="s">
        <v>848</v>
      </c>
      <c r="F205" s="134" t="s">
        <v>854</v>
      </c>
      <c r="G205" s="134" t="s">
        <v>860</v>
      </c>
      <c r="H205" s="135">
        <v>-7175000</v>
      </c>
    </row>
    <row r="206" spans="1:8" ht="34.5" thickBot="1" x14ac:dyDescent="0.3">
      <c r="A206" s="139" t="s">
        <v>90</v>
      </c>
      <c r="B206" s="139" t="s">
        <v>89</v>
      </c>
      <c r="C206" s="134" t="s">
        <v>218</v>
      </c>
      <c r="D206" s="134" t="s">
        <v>387</v>
      </c>
      <c r="E206" s="134" t="s">
        <v>848</v>
      </c>
      <c r="F206" s="134" t="s">
        <v>854</v>
      </c>
      <c r="G206" s="134" t="s">
        <v>861</v>
      </c>
      <c r="H206" s="136">
        <v>-7175000</v>
      </c>
    </row>
    <row r="207" spans="1:8" ht="34.5" thickBot="1" x14ac:dyDescent="0.3">
      <c r="A207" s="139" t="s">
        <v>90</v>
      </c>
      <c r="B207" s="139" t="s">
        <v>89</v>
      </c>
      <c r="C207" s="134" t="s">
        <v>218</v>
      </c>
      <c r="D207" s="134" t="s">
        <v>387</v>
      </c>
      <c r="E207" s="134" t="s">
        <v>848</v>
      </c>
      <c r="F207" s="134" t="s">
        <v>854</v>
      </c>
      <c r="G207" s="134" t="s">
        <v>862</v>
      </c>
      <c r="H207" s="135">
        <v>-7175000</v>
      </c>
    </row>
    <row r="208" spans="1:8" ht="34.5" thickBot="1" x14ac:dyDescent="0.3">
      <c r="A208" s="139" t="s">
        <v>90</v>
      </c>
      <c r="B208" s="139" t="s">
        <v>89</v>
      </c>
      <c r="C208" s="134" t="s">
        <v>218</v>
      </c>
      <c r="D208" s="134" t="s">
        <v>387</v>
      </c>
      <c r="E208" s="134" t="s">
        <v>848</v>
      </c>
      <c r="F208" s="134" t="s">
        <v>854</v>
      </c>
      <c r="G208" s="134" t="s">
        <v>863</v>
      </c>
      <c r="H208" s="136">
        <v>3850000</v>
      </c>
    </row>
    <row r="209" spans="1:12" ht="34.5" thickBot="1" x14ac:dyDescent="0.3">
      <c r="A209" s="139" t="s">
        <v>90</v>
      </c>
      <c r="B209" s="139" t="s">
        <v>89</v>
      </c>
      <c r="C209" s="134" t="s">
        <v>218</v>
      </c>
      <c r="D209" s="134" t="s">
        <v>387</v>
      </c>
      <c r="E209" s="134" t="s">
        <v>848</v>
      </c>
      <c r="F209" s="134" t="s">
        <v>854</v>
      </c>
      <c r="G209" s="134" t="s">
        <v>864</v>
      </c>
      <c r="H209" s="135">
        <v>375000</v>
      </c>
    </row>
    <row r="210" spans="1:12" ht="34.5" thickBot="1" x14ac:dyDescent="0.3">
      <c r="A210" s="139" t="s">
        <v>90</v>
      </c>
      <c r="B210" s="139" t="s">
        <v>89</v>
      </c>
      <c r="C210" s="134" t="s">
        <v>218</v>
      </c>
      <c r="D210" s="134" t="s">
        <v>387</v>
      </c>
      <c r="E210" s="134" t="s">
        <v>848</v>
      </c>
      <c r="F210" s="134" t="s">
        <v>854</v>
      </c>
      <c r="G210" s="134" t="s">
        <v>865</v>
      </c>
      <c r="H210" s="136">
        <v>375000</v>
      </c>
      <c r="J210" s="217" t="s">
        <v>587</v>
      </c>
    </row>
    <row r="211" spans="1:12" ht="15.75" thickBot="1" x14ac:dyDescent="0.3">
      <c r="A211" s="139" t="s">
        <v>90</v>
      </c>
      <c r="B211" s="139" t="s">
        <v>89</v>
      </c>
      <c r="C211" s="352" t="s">
        <v>64</v>
      </c>
      <c r="D211" s="354"/>
      <c r="E211" s="354"/>
      <c r="F211" s="354"/>
      <c r="G211" s="353"/>
      <c r="H211" s="137">
        <v>-95239558.099999994</v>
      </c>
    </row>
    <row r="212" spans="1:12" ht="45.75" thickBot="1" x14ac:dyDescent="0.3">
      <c r="A212" s="132" t="s">
        <v>54</v>
      </c>
      <c r="B212" s="133" t="s">
        <v>55</v>
      </c>
      <c r="C212" s="134" t="s">
        <v>218</v>
      </c>
      <c r="D212" s="134" t="s">
        <v>387</v>
      </c>
      <c r="E212" s="134" t="s">
        <v>848</v>
      </c>
      <c r="F212" s="134" t="s">
        <v>849</v>
      </c>
      <c r="G212" s="134" t="s">
        <v>850</v>
      </c>
      <c r="H212" s="136">
        <v>-2475000</v>
      </c>
      <c r="I212" s="2">
        <f>+H212+H213+H214+H215</f>
        <v>-9900000</v>
      </c>
    </row>
    <row r="213" spans="1:12" ht="45.75" thickBot="1" x14ac:dyDescent="0.3">
      <c r="A213" s="132" t="s">
        <v>54</v>
      </c>
      <c r="B213" s="133" t="s">
        <v>55</v>
      </c>
      <c r="C213" s="134" t="s">
        <v>218</v>
      </c>
      <c r="D213" s="134" t="s">
        <v>387</v>
      </c>
      <c r="E213" s="134" t="s">
        <v>848</v>
      </c>
      <c r="F213" s="134" t="s">
        <v>849</v>
      </c>
      <c r="G213" s="134" t="s">
        <v>851</v>
      </c>
      <c r="H213" s="135">
        <v>-2475000</v>
      </c>
      <c r="K213" t="s">
        <v>866</v>
      </c>
      <c r="L213" t="s">
        <v>867</v>
      </c>
    </row>
    <row r="214" spans="1:12" ht="45.75" thickBot="1" x14ac:dyDescent="0.3">
      <c r="A214" s="132" t="s">
        <v>54</v>
      </c>
      <c r="B214" s="133" t="s">
        <v>55</v>
      </c>
      <c r="C214" s="134" t="s">
        <v>218</v>
      </c>
      <c r="D214" s="134" t="s">
        <v>387</v>
      </c>
      <c r="E214" s="134" t="s">
        <v>848</v>
      </c>
      <c r="F214" s="134" t="s">
        <v>849</v>
      </c>
      <c r="G214" s="134" t="s">
        <v>852</v>
      </c>
      <c r="H214" s="136">
        <v>-2475000</v>
      </c>
      <c r="K214">
        <v>5.3</v>
      </c>
      <c r="L214">
        <v>7.3</v>
      </c>
    </row>
    <row r="215" spans="1:12" ht="45.75" thickBot="1" x14ac:dyDescent="0.3">
      <c r="A215" s="132" t="s">
        <v>54</v>
      </c>
      <c r="B215" s="133" t="s">
        <v>55</v>
      </c>
      <c r="C215" s="134" t="s">
        <v>218</v>
      </c>
      <c r="D215" s="134" t="s">
        <v>387</v>
      </c>
      <c r="E215" s="134" t="s">
        <v>848</v>
      </c>
      <c r="F215" s="134" t="s">
        <v>849</v>
      </c>
      <c r="G215" s="134" t="s">
        <v>853</v>
      </c>
      <c r="H215" s="135">
        <v>-2475000</v>
      </c>
    </row>
    <row r="216" spans="1:12" ht="34.5" thickBot="1" x14ac:dyDescent="0.3">
      <c r="A216" s="132" t="s">
        <v>54</v>
      </c>
      <c r="B216" s="133" t="s">
        <v>55</v>
      </c>
      <c r="C216" s="134" t="s">
        <v>218</v>
      </c>
      <c r="D216" s="134" t="s">
        <v>387</v>
      </c>
      <c r="E216" s="134" t="s">
        <v>848</v>
      </c>
      <c r="F216" s="134" t="s">
        <v>854</v>
      </c>
      <c r="G216" s="134" t="s">
        <v>855</v>
      </c>
      <c r="H216" s="136">
        <v>-3150000</v>
      </c>
      <c r="I216" s="2">
        <f>+H216+H217+H218</f>
        <v>-12600000</v>
      </c>
    </row>
    <row r="217" spans="1:12" ht="34.5" thickBot="1" x14ac:dyDescent="0.3">
      <c r="A217" s="132" t="s">
        <v>54</v>
      </c>
      <c r="B217" s="133" t="s">
        <v>55</v>
      </c>
      <c r="C217" s="134" t="s">
        <v>218</v>
      </c>
      <c r="D217" s="134" t="s">
        <v>387</v>
      </c>
      <c r="E217" s="134" t="s">
        <v>848</v>
      </c>
      <c r="F217" s="134" t="s">
        <v>854</v>
      </c>
      <c r="G217" s="134" t="s">
        <v>856</v>
      </c>
      <c r="H217" s="135">
        <v>-3150000</v>
      </c>
    </row>
    <row r="218" spans="1:12" ht="45.75" thickBot="1" x14ac:dyDescent="0.3">
      <c r="A218" s="132" t="s">
        <v>54</v>
      </c>
      <c r="B218" s="133" t="s">
        <v>55</v>
      </c>
      <c r="C218" s="134" t="s">
        <v>218</v>
      </c>
      <c r="D218" s="134" t="s">
        <v>387</v>
      </c>
      <c r="E218" s="134" t="s">
        <v>848</v>
      </c>
      <c r="F218" s="134" t="s">
        <v>854</v>
      </c>
      <c r="G218" s="134" t="s">
        <v>858</v>
      </c>
      <c r="H218" s="136">
        <v>-6300000</v>
      </c>
    </row>
    <row r="219" spans="1:12" ht="15.75" thickBot="1" x14ac:dyDescent="0.3">
      <c r="A219" s="132" t="s">
        <v>54</v>
      </c>
      <c r="B219" s="133" t="s">
        <v>55</v>
      </c>
      <c r="C219" s="352" t="s">
        <v>64</v>
      </c>
      <c r="D219" s="354"/>
      <c r="E219" s="354"/>
      <c r="F219" s="354"/>
      <c r="G219" s="353"/>
      <c r="H219" s="137">
        <v>-22500000</v>
      </c>
    </row>
    <row r="220" spans="1:12" ht="34.5" thickBot="1" x14ac:dyDescent="0.3">
      <c r="A220" s="132" t="s">
        <v>66</v>
      </c>
      <c r="B220" s="133" t="s">
        <v>67</v>
      </c>
      <c r="C220" s="134" t="s">
        <v>218</v>
      </c>
      <c r="D220" s="134" t="s">
        <v>387</v>
      </c>
      <c r="E220" s="134" t="s">
        <v>848</v>
      </c>
      <c r="F220" s="134" t="s">
        <v>854</v>
      </c>
      <c r="G220" s="134" t="s">
        <v>855</v>
      </c>
      <c r="H220" s="136">
        <v>-750000</v>
      </c>
      <c r="I220" s="362" t="s">
        <v>162</v>
      </c>
    </row>
    <row r="221" spans="1:12" ht="34.5" thickBot="1" x14ac:dyDescent="0.3">
      <c r="A221" s="132" t="s">
        <v>66</v>
      </c>
      <c r="B221" s="133" t="s">
        <v>67</v>
      </c>
      <c r="C221" s="134" t="s">
        <v>218</v>
      </c>
      <c r="D221" s="134" t="s">
        <v>387</v>
      </c>
      <c r="E221" s="134" t="s">
        <v>848</v>
      </c>
      <c r="F221" s="134" t="s">
        <v>854</v>
      </c>
      <c r="G221" s="134" t="s">
        <v>856</v>
      </c>
      <c r="H221" s="135">
        <v>-375000</v>
      </c>
      <c r="I221" s="362"/>
    </row>
    <row r="222" spans="1:12" ht="34.5" thickBot="1" x14ac:dyDescent="0.3">
      <c r="A222" s="132" t="s">
        <v>66</v>
      </c>
      <c r="B222" s="133" t="s">
        <v>67</v>
      </c>
      <c r="C222" s="134" t="s">
        <v>218</v>
      </c>
      <c r="D222" s="134" t="s">
        <v>387</v>
      </c>
      <c r="E222" s="134" t="s">
        <v>848</v>
      </c>
      <c r="F222" s="134" t="s">
        <v>854</v>
      </c>
      <c r="G222" s="134" t="s">
        <v>857</v>
      </c>
      <c r="H222" s="136">
        <v>-375000</v>
      </c>
      <c r="I222" s="362"/>
    </row>
    <row r="223" spans="1:12" ht="45.75" thickBot="1" x14ac:dyDescent="0.3">
      <c r="A223" s="132" t="s">
        <v>66</v>
      </c>
      <c r="B223" s="133" t="s">
        <v>67</v>
      </c>
      <c r="C223" s="134" t="s">
        <v>218</v>
      </c>
      <c r="D223" s="134" t="s">
        <v>387</v>
      </c>
      <c r="E223" s="134" t="s">
        <v>848</v>
      </c>
      <c r="F223" s="134" t="s">
        <v>854</v>
      </c>
      <c r="G223" s="134" t="s">
        <v>858</v>
      </c>
      <c r="H223" s="135">
        <v>-750000</v>
      </c>
      <c r="I223" s="362"/>
    </row>
    <row r="224" spans="1:12" ht="34.5" thickBot="1" x14ac:dyDescent="0.3">
      <c r="A224" s="132" t="s">
        <v>66</v>
      </c>
      <c r="B224" s="133" t="s">
        <v>67</v>
      </c>
      <c r="C224" s="134" t="s">
        <v>218</v>
      </c>
      <c r="D224" s="134" t="s">
        <v>387</v>
      </c>
      <c r="E224" s="134" t="s">
        <v>848</v>
      </c>
      <c r="F224" s="134" t="s">
        <v>854</v>
      </c>
      <c r="G224" s="134" t="s">
        <v>864</v>
      </c>
      <c r="H224" s="136">
        <v>375000</v>
      </c>
      <c r="I224" s="362"/>
    </row>
    <row r="225" spans="1:9" ht="34.5" thickBot="1" x14ac:dyDescent="0.3">
      <c r="A225" s="132" t="s">
        <v>66</v>
      </c>
      <c r="B225" s="133" t="s">
        <v>67</v>
      </c>
      <c r="C225" s="134" t="s">
        <v>218</v>
      </c>
      <c r="D225" s="134" t="s">
        <v>387</v>
      </c>
      <c r="E225" s="134" t="s">
        <v>848</v>
      </c>
      <c r="F225" s="134" t="s">
        <v>854</v>
      </c>
      <c r="G225" s="134" t="s">
        <v>865</v>
      </c>
      <c r="H225" s="135">
        <v>375000</v>
      </c>
      <c r="I225" s="362"/>
    </row>
    <row r="226" spans="1:9" ht="15.75" thickBot="1" x14ac:dyDescent="0.3">
      <c r="A226" s="132" t="s">
        <v>66</v>
      </c>
      <c r="B226" s="133" t="s">
        <v>67</v>
      </c>
      <c r="C226" s="352" t="s">
        <v>64</v>
      </c>
      <c r="D226" s="354"/>
      <c r="E226" s="354"/>
      <c r="F226" s="354"/>
      <c r="G226" s="353"/>
      <c r="H226" s="137">
        <v>-1500000</v>
      </c>
    </row>
    <row r="227" spans="1:9" ht="34.5" thickBot="1" x14ac:dyDescent="0.3">
      <c r="A227" s="132" t="s">
        <v>80</v>
      </c>
      <c r="B227" s="133" t="s">
        <v>24</v>
      </c>
      <c r="C227" s="134" t="s">
        <v>218</v>
      </c>
      <c r="D227" s="134" t="s">
        <v>387</v>
      </c>
      <c r="E227" s="134" t="s">
        <v>848</v>
      </c>
      <c r="F227" s="134" t="s">
        <v>854</v>
      </c>
      <c r="G227" s="134" t="s">
        <v>855</v>
      </c>
      <c r="H227" s="135">
        <v>-11607754.220000001</v>
      </c>
    </row>
    <row r="228" spans="1:9" ht="34.5" thickBot="1" x14ac:dyDescent="0.3">
      <c r="A228" s="132" t="s">
        <v>80</v>
      </c>
      <c r="B228" s="133" t="s">
        <v>24</v>
      </c>
      <c r="C228" s="134" t="s">
        <v>218</v>
      </c>
      <c r="D228" s="134" t="s">
        <v>387</v>
      </c>
      <c r="E228" s="134" t="s">
        <v>848</v>
      </c>
      <c r="F228" s="134" t="s">
        <v>854</v>
      </c>
      <c r="G228" s="134" t="s">
        <v>856</v>
      </c>
      <c r="H228" s="136">
        <v>-11607754.220000001</v>
      </c>
    </row>
    <row r="229" spans="1:9" ht="45.75" thickBot="1" x14ac:dyDescent="0.3">
      <c r="A229" s="132" t="s">
        <v>80</v>
      </c>
      <c r="B229" s="133" t="s">
        <v>24</v>
      </c>
      <c r="C229" s="134" t="s">
        <v>218</v>
      </c>
      <c r="D229" s="134" t="s">
        <v>387</v>
      </c>
      <c r="E229" s="134" t="s">
        <v>848</v>
      </c>
      <c r="F229" s="134" t="s">
        <v>854</v>
      </c>
      <c r="G229" s="134" t="s">
        <v>858</v>
      </c>
      <c r="H229" s="135">
        <v>-23174049.66</v>
      </c>
    </row>
    <row r="230" spans="1:9" ht="34.5" thickBot="1" x14ac:dyDescent="0.3">
      <c r="A230" s="132" t="s">
        <v>80</v>
      </c>
      <c r="B230" s="133" t="s">
        <v>24</v>
      </c>
      <c r="C230" s="134" t="s">
        <v>218</v>
      </c>
      <c r="D230" s="134" t="s">
        <v>387</v>
      </c>
      <c r="E230" s="134" t="s">
        <v>848</v>
      </c>
      <c r="F230" s="134" t="s">
        <v>854</v>
      </c>
      <c r="G230" s="134" t="s">
        <v>859</v>
      </c>
      <c r="H230" s="136">
        <v>-7175000</v>
      </c>
    </row>
    <row r="231" spans="1:9" ht="34.5" thickBot="1" x14ac:dyDescent="0.3">
      <c r="A231" s="132" t="s">
        <v>80</v>
      </c>
      <c r="B231" s="133" t="s">
        <v>24</v>
      </c>
      <c r="C231" s="134" t="s">
        <v>218</v>
      </c>
      <c r="D231" s="134" t="s">
        <v>387</v>
      </c>
      <c r="E231" s="134" t="s">
        <v>848</v>
      </c>
      <c r="F231" s="134" t="s">
        <v>854</v>
      </c>
      <c r="G231" s="134" t="s">
        <v>860</v>
      </c>
      <c r="H231" s="135">
        <v>-7175000</v>
      </c>
    </row>
    <row r="232" spans="1:9" ht="34.5" thickBot="1" x14ac:dyDescent="0.3">
      <c r="A232" s="132" t="s">
        <v>80</v>
      </c>
      <c r="B232" s="133" t="s">
        <v>24</v>
      </c>
      <c r="C232" s="134" t="s">
        <v>218</v>
      </c>
      <c r="D232" s="134" t="s">
        <v>387</v>
      </c>
      <c r="E232" s="134" t="s">
        <v>848</v>
      </c>
      <c r="F232" s="134" t="s">
        <v>854</v>
      </c>
      <c r="G232" s="134" t="s">
        <v>861</v>
      </c>
      <c r="H232" s="136">
        <v>-7175000</v>
      </c>
    </row>
    <row r="233" spans="1:9" ht="34.5" thickBot="1" x14ac:dyDescent="0.3">
      <c r="A233" s="132" t="s">
        <v>80</v>
      </c>
      <c r="B233" s="133" t="s">
        <v>24</v>
      </c>
      <c r="C233" s="134" t="s">
        <v>218</v>
      </c>
      <c r="D233" s="134" t="s">
        <v>387</v>
      </c>
      <c r="E233" s="134" t="s">
        <v>848</v>
      </c>
      <c r="F233" s="134" t="s">
        <v>854</v>
      </c>
      <c r="G233" s="134" t="s">
        <v>862</v>
      </c>
      <c r="H233" s="135">
        <v>-7175000</v>
      </c>
    </row>
    <row r="234" spans="1:9" ht="34.5" thickBot="1" x14ac:dyDescent="0.3">
      <c r="A234" s="132" t="s">
        <v>80</v>
      </c>
      <c r="B234" s="133" t="s">
        <v>24</v>
      </c>
      <c r="C234" s="134" t="s">
        <v>218</v>
      </c>
      <c r="D234" s="134" t="s">
        <v>387</v>
      </c>
      <c r="E234" s="134" t="s">
        <v>848</v>
      </c>
      <c r="F234" s="134" t="s">
        <v>854</v>
      </c>
      <c r="G234" s="134" t="s">
        <v>863</v>
      </c>
      <c r="H234" s="136">
        <v>3850000</v>
      </c>
    </row>
    <row r="235" spans="1:9" ht="15.75" thickBot="1" x14ac:dyDescent="0.3">
      <c r="A235" s="132" t="s">
        <v>80</v>
      </c>
      <c r="B235" s="133" t="s">
        <v>24</v>
      </c>
      <c r="C235" s="352" t="s">
        <v>64</v>
      </c>
      <c r="D235" s="354"/>
      <c r="E235" s="354"/>
      <c r="F235" s="354"/>
      <c r="G235" s="353"/>
      <c r="H235" s="137">
        <v>-71239558.099999994</v>
      </c>
    </row>
    <row r="236" spans="1:9" ht="34.5" thickBot="1" x14ac:dyDescent="0.3">
      <c r="A236" s="215" t="s">
        <v>407</v>
      </c>
      <c r="B236" s="214" t="s">
        <v>406</v>
      </c>
      <c r="C236" s="134" t="s">
        <v>218</v>
      </c>
      <c r="D236" s="134" t="s">
        <v>387</v>
      </c>
      <c r="E236" s="134" t="s">
        <v>848</v>
      </c>
      <c r="F236" s="134" t="s">
        <v>854</v>
      </c>
      <c r="G236" s="134" t="s">
        <v>855</v>
      </c>
      <c r="H236" s="136">
        <v>-11607754.220000001</v>
      </c>
      <c r="I236" s="258" t="s">
        <v>162</v>
      </c>
    </row>
    <row r="237" spans="1:9" ht="34.5" thickBot="1" x14ac:dyDescent="0.3">
      <c r="A237" s="215" t="s">
        <v>407</v>
      </c>
      <c r="B237" s="214" t="s">
        <v>406</v>
      </c>
      <c r="C237" s="134" t="s">
        <v>218</v>
      </c>
      <c r="D237" s="134" t="s">
        <v>387</v>
      </c>
      <c r="E237" s="134" t="s">
        <v>848</v>
      </c>
      <c r="F237" s="134" t="s">
        <v>854</v>
      </c>
      <c r="G237" s="134" t="s">
        <v>856</v>
      </c>
      <c r="H237" s="135">
        <v>-11607754.220000001</v>
      </c>
      <c r="I237" s="258"/>
    </row>
    <row r="238" spans="1:9" ht="45.75" thickBot="1" x14ac:dyDescent="0.3">
      <c r="A238" s="215" t="s">
        <v>407</v>
      </c>
      <c r="B238" s="214" t="s">
        <v>406</v>
      </c>
      <c r="C238" s="134" t="s">
        <v>218</v>
      </c>
      <c r="D238" s="134" t="s">
        <v>387</v>
      </c>
      <c r="E238" s="134" t="s">
        <v>848</v>
      </c>
      <c r="F238" s="134" t="s">
        <v>854</v>
      </c>
      <c r="G238" s="134" t="s">
        <v>858</v>
      </c>
      <c r="H238" s="136">
        <v>-23174049.66</v>
      </c>
      <c r="I238" s="258"/>
    </row>
    <row r="239" spans="1:9" ht="23.25" thickBot="1" x14ac:dyDescent="0.3">
      <c r="A239" s="215" t="s">
        <v>407</v>
      </c>
      <c r="B239" s="214" t="s">
        <v>406</v>
      </c>
      <c r="C239" s="352" t="s">
        <v>64</v>
      </c>
      <c r="D239" s="354"/>
      <c r="E239" s="354"/>
      <c r="F239" s="354"/>
      <c r="G239" s="353"/>
      <c r="H239" s="137">
        <v>-46389558.100000001</v>
      </c>
    </row>
    <row r="240" spans="1:9" ht="34.5" thickBot="1" x14ac:dyDescent="0.3">
      <c r="A240" s="215" t="s">
        <v>404</v>
      </c>
      <c r="B240" s="214" t="s">
        <v>403</v>
      </c>
      <c r="C240" s="134" t="s">
        <v>218</v>
      </c>
      <c r="D240" s="134" t="s">
        <v>387</v>
      </c>
      <c r="E240" s="134" t="s">
        <v>848</v>
      </c>
      <c r="F240" s="134" t="s">
        <v>854</v>
      </c>
      <c r="G240" s="134" t="s">
        <v>859</v>
      </c>
      <c r="H240" s="136">
        <v>-2150000</v>
      </c>
    </row>
    <row r="241" spans="1:10" ht="34.5" thickBot="1" x14ac:dyDescent="0.3">
      <c r="A241" s="215" t="s">
        <v>404</v>
      </c>
      <c r="B241" s="214" t="s">
        <v>403</v>
      </c>
      <c r="C241" s="134" t="s">
        <v>218</v>
      </c>
      <c r="D241" s="134" t="s">
        <v>387</v>
      </c>
      <c r="E241" s="134" t="s">
        <v>848</v>
      </c>
      <c r="F241" s="134" t="s">
        <v>854</v>
      </c>
      <c r="G241" s="134" t="s">
        <v>860</v>
      </c>
      <c r="H241" s="135">
        <v>-2150000</v>
      </c>
      <c r="J241" s="217" t="s">
        <v>426</v>
      </c>
    </row>
    <row r="242" spans="1:10" ht="34.5" thickBot="1" x14ac:dyDescent="0.3">
      <c r="A242" s="215" t="s">
        <v>404</v>
      </c>
      <c r="B242" s="214" t="s">
        <v>403</v>
      </c>
      <c r="C242" s="134" t="s">
        <v>218</v>
      </c>
      <c r="D242" s="134" t="s">
        <v>387</v>
      </c>
      <c r="E242" s="134" t="s">
        <v>848</v>
      </c>
      <c r="F242" s="134" t="s">
        <v>854</v>
      </c>
      <c r="G242" s="134" t="s">
        <v>861</v>
      </c>
      <c r="H242" s="136">
        <v>-2150000</v>
      </c>
      <c r="J242" s="142">
        <v>-4100000</v>
      </c>
    </row>
    <row r="243" spans="1:10" ht="34.5" thickBot="1" x14ac:dyDescent="0.3">
      <c r="A243" s="215" t="s">
        <v>404</v>
      </c>
      <c r="B243" s="214" t="s">
        <v>403</v>
      </c>
      <c r="C243" s="134" t="s">
        <v>218</v>
      </c>
      <c r="D243" s="134" t="s">
        <v>387</v>
      </c>
      <c r="E243" s="134" t="s">
        <v>848</v>
      </c>
      <c r="F243" s="134" t="s">
        <v>854</v>
      </c>
      <c r="G243" s="134" t="s">
        <v>862</v>
      </c>
      <c r="H243" s="135">
        <v>-2150000</v>
      </c>
      <c r="I243" s="250"/>
    </row>
    <row r="244" spans="1:10" ht="23.25" thickBot="1" x14ac:dyDescent="0.3">
      <c r="A244" s="215" t="s">
        <v>404</v>
      </c>
      <c r="B244" s="214" t="s">
        <v>403</v>
      </c>
      <c r="C244" s="352" t="s">
        <v>64</v>
      </c>
      <c r="D244" s="354"/>
      <c r="E244" s="354"/>
      <c r="F244" s="354"/>
      <c r="G244" s="353"/>
      <c r="H244" s="137">
        <v>-8600000</v>
      </c>
      <c r="I244" s="216" t="s">
        <v>405</v>
      </c>
    </row>
    <row r="245" spans="1:10" ht="34.5" thickBot="1" x14ac:dyDescent="0.3">
      <c r="A245" s="215" t="s">
        <v>394</v>
      </c>
      <c r="B245" s="214" t="s">
        <v>393</v>
      </c>
      <c r="C245" s="134" t="s">
        <v>218</v>
      </c>
      <c r="D245" s="134" t="s">
        <v>387</v>
      </c>
      <c r="E245" s="134" t="s">
        <v>848</v>
      </c>
      <c r="F245" s="134" t="s">
        <v>854</v>
      </c>
      <c r="G245" s="134" t="s">
        <v>859</v>
      </c>
      <c r="H245" s="135">
        <v>-3425000</v>
      </c>
    </row>
    <row r="246" spans="1:10" ht="34.5" thickBot="1" x14ac:dyDescent="0.3">
      <c r="A246" s="215" t="s">
        <v>394</v>
      </c>
      <c r="B246" s="214" t="s">
        <v>393</v>
      </c>
      <c r="C246" s="134" t="s">
        <v>218</v>
      </c>
      <c r="D246" s="134" t="s">
        <v>387</v>
      </c>
      <c r="E246" s="134" t="s">
        <v>848</v>
      </c>
      <c r="F246" s="134" t="s">
        <v>854</v>
      </c>
      <c r="G246" s="134" t="s">
        <v>860</v>
      </c>
      <c r="H246" s="136">
        <v>-3425000</v>
      </c>
    </row>
    <row r="247" spans="1:10" ht="34.5" thickBot="1" x14ac:dyDescent="0.3">
      <c r="A247" s="215" t="s">
        <v>394</v>
      </c>
      <c r="B247" s="214" t="s">
        <v>393</v>
      </c>
      <c r="C247" s="134" t="s">
        <v>218</v>
      </c>
      <c r="D247" s="134" t="s">
        <v>387</v>
      </c>
      <c r="E247" s="134" t="s">
        <v>848</v>
      </c>
      <c r="F247" s="134" t="s">
        <v>854</v>
      </c>
      <c r="G247" s="134" t="s">
        <v>861</v>
      </c>
      <c r="H247" s="135">
        <v>-3425000</v>
      </c>
    </row>
    <row r="248" spans="1:10" ht="34.5" thickBot="1" x14ac:dyDescent="0.3">
      <c r="A248" s="215" t="s">
        <v>394</v>
      </c>
      <c r="B248" s="214" t="s">
        <v>393</v>
      </c>
      <c r="C248" s="134" t="s">
        <v>218</v>
      </c>
      <c r="D248" s="134" t="s">
        <v>387</v>
      </c>
      <c r="E248" s="134" t="s">
        <v>848</v>
      </c>
      <c r="F248" s="134" t="s">
        <v>854</v>
      </c>
      <c r="G248" s="134" t="s">
        <v>862</v>
      </c>
      <c r="H248" s="136">
        <v>-3425000</v>
      </c>
    </row>
    <row r="249" spans="1:10" ht="34.5" thickBot="1" x14ac:dyDescent="0.3">
      <c r="A249" s="215" t="s">
        <v>394</v>
      </c>
      <c r="B249" s="214" t="s">
        <v>393</v>
      </c>
      <c r="C249" s="134" t="s">
        <v>218</v>
      </c>
      <c r="D249" s="134" t="s">
        <v>387</v>
      </c>
      <c r="E249" s="134" t="s">
        <v>848</v>
      </c>
      <c r="F249" s="134" t="s">
        <v>854</v>
      </c>
      <c r="G249" s="134" t="s">
        <v>863</v>
      </c>
      <c r="H249" s="135">
        <v>3850000</v>
      </c>
    </row>
    <row r="250" spans="1:10" ht="23.25" thickBot="1" x14ac:dyDescent="0.3">
      <c r="A250" s="215" t="s">
        <v>394</v>
      </c>
      <c r="B250" s="214" t="s">
        <v>393</v>
      </c>
      <c r="C250" s="352" t="s">
        <v>64</v>
      </c>
      <c r="D250" s="354"/>
      <c r="E250" s="354"/>
      <c r="F250" s="354"/>
      <c r="G250" s="353"/>
      <c r="H250" s="137">
        <v>-9850000</v>
      </c>
      <c r="I250" s="216" t="s">
        <v>395</v>
      </c>
    </row>
    <row r="251" spans="1:10" ht="34.5" thickBot="1" x14ac:dyDescent="0.3">
      <c r="A251" s="215" t="s">
        <v>384</v>
      </c>
      <c r="B251" s="214" t="s">
        <v>383</v>
      </c>
      <c r="C251" s="134" t="s">
        <v>218</v>
      </c>
      <c r="D251" s="134" t="s">
        <v>387</v>
      </c>
      <c r="E251" s="134" t="s">
        <v>848</v>
      </c>
      <c r="F251" s="134" t="s">
        <v>854</v>
      </c>
      <c r="G251" s="134" t="s">
        <v>859</v>
      </c>
      <c r="H251" s="135">
        <v>-1600000</v>
      </c>
    </row>
    <row r="252" spans="1:10" ht="34.5" thickBot="1" x14ac:dyDescent="0.3">
      <c r="A252" s="215" t="s">
        <v>384</v>
      </c>
      <c r="B252" s="214" t="s">
        <v>383</v>
      </c>
      <c r="C252" s="134" t="s">
        <v>218</v>
      </c>
      <c r="D252" s="134" t="s">
        <v>387</v>
      </c>
      <c r="E252" s="134" t="s">
        <v>848</v>
      </c>
      <c r="F252" s="134" t="s">
        <v>854</v>
      </c>
      <c r="G252" s="134" t="s">
        <v>860</v>
      </c>
      <c r="H252" s="136">
        <v>-1600000</v>
      </c>
    </row>
    <row r="253" spans="1:10" ht="34.5" thickBot="1" x14ac:dyDescent="0.3">
      <c r="A253" s="215" t="s">
        <v>384</v>
      </c>
      <c r="B253" s="214" t="s">
        <v>383</v>
      </c>
      <c r="C253" s="134" t="s">
        <v>218</v>
      </c>
      <c r="D253" s="134" t="s">
        <v>387</v>
      </c>
      <c r="E253" s="134" t="s">
        <v>848</v>
      </c>
      <c r="F253" s="134" t="s">
        <v>854</v>
      </c>
      <c r="G253" s="134" t="s">
        <v>861</v>
      </c>
      <c r="H253" s="135">
        <v>-1600000</v>
      </c>
    </row>
    <row r="254" spans="1:10" ht="34.5" thickBot="1" x14ac:dyDescent="0.3">
      <c r="A254" s="215" t="s">
        <v>384</v>
      </c>
      <c r="B254" s="214" t="s">
        <v>383</v>
      </c>
      <c r="C254" s="134" t="s">
        <v>218</v>
      </c>
      <c r="D254" s="134" t="s">
        <v>387</v>
      </c>
      <c r="E254" s="134" t="s">
        <v>848</v>
      </c>
      <c r="F254" s="134" t="s">
        <v>854</v>
      </c>
      <c r="G254" s="134" t="s">
        <v>862</v>
      </c>
      <c r="H254" s="136">
        <v>-1600000</v>
      </c>
      <c r="I254" s="361" t="s">
        <v>388</v>
      </c>
    </row>
    <row r="255" spans="1:10" ht="23.25" thickBot="1" x14ac:dyDescent="0.3">
      <c r="A255" s="215" t="s">
        <v>384</v>
      </c>
      <c r="B255" s="214" t="s">
        <v>383</v>
      </c>
      <c r="C255" s="352" t="s">
        <v>64</v>
      </c>
      <c r="D255" s="354"/>
      <c r="E255" s="354"/>
      <c r="F255" s="354"/>
      <c r="G255" s="353"/>
      <c r="H255" s="137">
        <v>-6400000</v>
      </c>
      <c r="I255" s="361"/>
    </row>
    <row r="257" spans="1:10" ht="15.75" thickBot="1" x14ac:dyDescent="0.3">
      <c r="A257" s="80" t="s">
        <v>443</v>
      </c>
    </row>
    <row r="258" spans="1:10" ht="15.75" thickBot="1" x14ac:dyDescent="0.3">
      <c r="A258" s="347"/>
      <c r="B258" s="348"/>
      <c r="C258" s="348"/>
      <c r="D258" s="348"/>
      <c r="E258" s="348"/>
      <c r="F258" s="349"/>
      <c r="G258" s="140"/>
      <c r="H258" s="134" t="s">
        <v>95</v>
      </c>
    </row>
    <row r="259" spans="1:10" ht="15.75" thickBot="1" x14ac:dyDescent="0.3">
      <c r="A259" s="350" t="s">
        <v>94</v>
      </c>
      <c r="B259" s="351"/>
      <c r="C259" s="350" t="s">
        <v>228</v>
      </c>
      <c r="D259" s="351"/>
      <c r="E259" s="350" t="s">
        <v>92</v>
      </c>
      <c r="F259" s="351"/>
      <c r="G259" s="134" t="s">
        <v>229</v>
      </c>
      <c r="H259" s="140" t="s">
        <v>91</v>
      </c>
    </row>
    <row r="260" spans="1:10" ht="45.75" thickBot="1" x14ac:dyDescent="0.3">
      <c r="A260" s="215" t="s">
        <v>384</v>
      </c>
      <c r="B260" s="214" t="s">
        <v>383</v>
      </c>
      <c r="C260" s="134" t="s">
        <v>435</v>
      </c>
      <c r="D260" s="134" t="s">
        <v>434</v>
      </c>
      <c r="E260" s="134" t="s">
        <v>868</v>
      </c>
      <c r="F260" s="134" t="s">
        <v>869</v>
      </c>
      <c r="G260" s="134" t="s">
        <v>870</v>
      </c>
      <c r="H260" s="136">
        <v>1854020.66</v>
      </c>
    </row>
    <row r="261" spans="1:10" ht="45.75" thickBot="1" x14ac:dyDescent="0.3">
      <c r="A261" s="215" t="s">
        <v>384</v>
      </c>
      <c r="B261" s="214" t="s">
        <v>383</v>
      </c>
      <c r="C261" s="134" t="s">
        <v>435</v>
      </c>
      <c r="D261" s="134" t="s">
        <v>434</v>
      </c>
      <c r="E261" s="134" t="s">
        <v>454</v>
      </c>
      <c r="F261" s="134" t="s">
        <v>455</v>
      </c>
      <c r="G261" s="134" t="s">
        <v>871</v>
      </c>
      <c r="H261" s="135">
        <v>-5265154.9000000004</v>
      </c>
    </row>
    <row r="262" spans="1:10" ht="45.75" thickBot="1" x14ac:dyDescent="0.3">
      <c r="A262" s="215" t="s">
        <v>384</v>
      </c>
      <c r="B262" s="214" t="s">
        <v>383</v>
      </c>
      <c r="C262" s="134" t="s">
        <v>435</v>
      </c>
      <c r="D262" s="134" t="s">
        <v>434</v>
      </c>
      <c r="E262" s="134" t="s">
        <v>456</v>
      </c>
      <c r="F262" s="134" t="s">
        <v>457</v>
      </c>
      <c r="G262" s="134" t="s">
        <v>872</v>
      </c>
      <c r="H262" s="136">
        <v>3411134.24</v>
      </c>
    </row>
    <row r="263" spans="1:10" ht="45.75" thickBot="1" x14ac:dyDescent="0.3">
      <c r="A263" s="215" t="s">
        <v>384</v>
      </c>
      <c r="B263" s="214" t="s">
        <v>383</v>
      </c>
      <c r="C263" s="134" t="s">
        <v>430</v>
      </c>
      <c r="D263" s="134" t="s">
        <v>429</v>
      </c>
      <c r="E263" s="134" t="s">
        <v>868</v>
      </c>
      <c r="F263" s="134" t="s">
        <v>869</v>
      </c>
      <c r="G263" s="134" t="s">
        <v>873</v>
      </c>
      <c r="H263" s="135">
        <v>-2000000</v>
      </c>
      <c r="I263" s="250" t="s">
        <v>874</v>
      </c>
    </row>
    <row r="264" spans="1:10" ht="34.5" thickBot="1" x14ac:dyDescent="0.3">
      <c r="A264" s="215" t="s">
        <v>384</v>
      </c>
      <c r="B264" s="214" t="s">
        <v>383</v>
      </c>
      <c r="C264" s="134" t="s">
        <v>430</v>
      </c>
      <c r="D264" s="134" t="s">
        <v>429</v>
      </c>
      <c r="E264" s="134" t="s">
        <v>456</v>
      </c>
      <c r="F264" s="134" t="s">
        <v>457</v>
      </c>
      <c r="G264" s="134" t="s">
        <v>872</v>
      </c>
      <c r="H264" s="136">
        <v>2000000</v>
      </c>
    </row>
    <row r="265" spans="1:10" ht="23.25" thickBot="1" x14ac:dyDescent="0.3">
      <c r="A265" s="215" t="s">
        <v>384</v>
      </c>
      <c r="B265" s="214" t="s">
        <v>383</v>
      </c>
      <c r="C265" s="352" t="s">
        <v>64</v>
      </c>
      <c r="D265" s="354"/>
      <c r="E265" s="354"/>
      <c r="F265" s="354"/>
      <c r="G265" s="353"/>
      <c r="H265" s="137">
        <v>0</v>
      </c>
      <c r="J265" s="295"/>
    </row>
    <row r="266" spans="1:10" x14ac:dyDescent="0.25">
      <c r="J266" s="295"/>
    </row>
    <row r="267" spans="1:10" ht="15.75" thickBot="1" x14ac:dyDescent="0.3">
      <c r="A267" s="80" t="s">
        <v>446</v>
      </c>
    </row>
    <row r="268" spans="1:10" ht="15.75" thickBot="1" x14ac:dyDescent="0.3">
      <c r="A268" s="347"/>
      <c r="B268" s="348"/>
      <c r="C268" s="348"/>
      <c r="D268" s="348"/>
      <c r="E268" s="348"/>
      <c r="F268" s="348"/>
      <c r="G268" s="348"/>
      <c r="H268" s="349"/>
      <c r="I268" s="140"/>
      <c r="J268" s="134" t="s">
        <v>95</v>
      </c>
    </row>
    <row r="269" spans="1:10" ht="15.75" thickBot="1" x14ac:dyDescent="0.3">
      <c r="A269" s="350" t="s">
        <v>94</v>
      </c>
      <c r="B269" s="351"/>
      <c r="C269" s="134" t="s">
        <v>440</v>
      </c>
      <c r="D269" s="350" t="s">
        <v>228</v>
      </c>
      <c r="E269" s="351"/>
      <c r="F269" s="350" t="s">
        <v>92</v>
      </c>
      <c r="G269" s="351"/>
      <c r="H269" s="134" t="s">
        <v>209</v>
      </c>
      <c r="I269" s="141"/>
      <c r="J269" s="140" t="s">
        <v>91</v>
      </c>
    </row>
    <row r="270" spans="1:10" ht="23.25" thickBot="1" x14ac:dyDescent="0.3">
      <c r="A270" s="139" t="s">
        <v>90</v>
      </c>
      <c r="B270" s="139" t="s">
        <v>89</v>
      </c>
      <c r="C270" s="134" t="s">
        <v>161</v>
      </c>
      <c r="D270" s="134" t="s">
        <v>447</v>
      </c>
      <c r="E270" s="134" t="s">
        <v>448</v>
      </c>
      <c r="F270" s="134" t="s">
        <v>868</v>
      </c>
      <c r="G270" s="134" t="s">
        <v>869</v>
      </c>
      <c r="H270" s="134" t="s">
        <v>230</v>
      </c>
      <c r="I270" s="134" t="s">
        <v>231</v>
      </c>
      <c r="J270" s="136">
        <v>-599918.01</v>
      </c>
    </row>
    <row r="271" spans="1:10" ht="23.25" thickBot="1" x14ac:dyDescent="0.3">
      <c r="A271" s="139" t="s">
        <v>90</v>
      </c>
      <c r="B271" s="139" t="s">
        <v>89</v>
      </c>
      <c r="C271" s="134" t="s">
        <v>161</v>
      </c>
      <c r="D271" s="134" t="s">
        <v>447</v>
      </c>
      <c r="E271" s="134" t="s">
        <v>448</v>
      </c>
      <c r="F271" s="134" t="s">
        <v>454</v>
      </c>
      <c r="G271" s="134" t="s">
        <v>455</v>
      </c>
      <c r="H271" s="134" t="s">
        <v>230</v>
      </c>
      <c r="I271" s="134" t="s">
        <v>231</v>
      </c>
      <c r="J271" s="135">
        <v>-694360.07</v>
      </c>
    </row>
    <row r="272" spans="1:10" ht="23.25" thickBot="1" x14ac:dyDescent="0.3">
      <c r="A272" s="139" t="s">
        <v>90</v>
      </c>
      <c r="B272" s="139" t="s">
        <v>89</v>
      </c>
      <c r="C272" s="134" t="s">
        <v>161</v>
      </c>
      <c r="D272" s="134" t="s">
        <v>447</v>
      </c>
      <c r="E272" s="134" t="s">
        <v>448</v>
      </c>
      <c r="F272" s="134" t="s">
        <v>433</v>
      </c>
      <c r="G272" s="134" t="s">
        <v>875</v>
      </c>
      <c r="H272" s="134" t="s">
        <v>230</v>
      </c>
      <c r="I272" s="134" t="s">
        <v>231</v>
      </c>
      <c r="J272" s="136">
        <v>-8838.23</v>
      </c>
    </row>
    <row r="273" spans="1:11" ht="23.25" thickBot="1" x14ac:dyDescent="0.3">
      <c r="A273" s="139" t="s">
        <v>90</v>
      </c>
      <c r="B273" s="139" t="s">
        <v>89</v>
      </c>
      <c r="C273" s="134" t="s">
        <v>161</v>
      </c>
      <c r="D273" s="134" t="s">
        <v>449</v>
      </c>
      <c r="E273" s="134" t="s">
        <v>446</v>
      </c>
      <c r="F273" s="134" t="s">
        <v>868</v>
      </c>
      <c r="G273" s="134" t="s">
        <v>869</v>
      </c>
      <c r="H273" s="134" t="s">
        <v>230</v>
      </c>
      <c r="I273" s="134" t="s">
        <v>231</v>
      </c>
      <c r="J273" s="135">
        <v>-1676516.17</v>
      </c>
    </row>
    <row r="274" spans="1:11" ht="23.25" thickBot="1" x14ac:dyDescent="0.3">
      <c r="A274" s="139" t="s">
        <v>90</v>
      </c>
      <c r="B274" s="139" t="s">
        <v>89</v>
      </c>
      <c r="C274" s="134" t="s">
        <v>161</v>
      </c>
      <c r="D274" s="134" t="s">
        <v>449</v>
      </c>
      <c r="E274" s="134" t="s">
        <v>446</v>
      </c>
      <c r="F274" s="134" t="s">
        <v>454</v>
      </c>
      <c r="G274" s="134" t="s">
        <v>455</v>
      </c>
      <c r="H274" s="134" t="s">
        <v>230</v>
      </c>
      <c r="I274" s="134" t="s">
        <v>231</v>
      </c>
      <c r="J274" s="136">
        <v>5633.18</v>
      </c>
    </row>
    <row r="275" spans="1:11" ht="23.25" thickBot="1" x14ac:dyDescent="0.3">
      <c r="A275" s="139" t="s">
        <v>90</v>
      </c>
      <c r="B275" s="139" t="s">
        <v>89</v>
      </c>
      <c r="C275" s="134" t="s">
        <v>161</v>
      </c>
      <c r="D275" s="134" t="s">
        <v>445</v>
      </c>
      <c r="E275" s="134" t="s">
        <v>444</v>
      </c>
      <c r="F275" s="134" t="s">
        <v>876</v>
      </c>
      <c r="G275" s="134" t="s">
        <v>877</v>
      </c>
      <c r="H275" s="134" t="s">
        <v>230</v>
      </c>
      <c r="I275" s="134" t="s">
        <v>231</v>
      </c>
      <c r="J275" s="135">
        <v>-3586078</v>
      </c>
    </row>
    <row r="276" spans="1:11" ht="23.25" thickBot="1" x14ac:dyDescent="0.3">
      <c r="A276" s="139" t="s">
        <v>90</v>
      </c>
      <c r="B276" s="139" t="s">
        <v>89</v>
      </c>
      <c r="C276" s="134" t="s">
        <v>161</v>
      </c>
      <c r="D276" s="134" t="s">
        <v>445</v>
      </c>
      <c r="E276" s="134" t="s">
        <v>444</v>
      </c>
      <c r="F276" s="134" t="s">
        <v>868</v>
      </c>
      <c r="G276" s="134" t="s">
        <v>869</v>
      </c>
      <c r="H276" s="134" t="s">
        <v>230</v>
      </c>
      <c r="I276" s="134" t="s">
        <v>231</v>
      </c>
      <c r="J276" s="136">
        <v>2461123.36</v>
      </c>
    </row>
    <row r="277" spans="1:11" ht="23.25" thickBot="1" x14ac:dyDescent="0.3">
      <c r="A277" s="139" t="s">
        <v>90</v>
      </c>
      <c r="B277" s="139" t="s">
        <v>89</v>
      </c>
      <c r="C277" s="134" t="s">
        <v>161</v>
      </c>
      <c r="D277" s="134" t="s">
        <v>445</v>
      </c>
      <c r="E277" s="134" t="s">
        <v>444</v>
      </c>
      <c r="F277" s="134" t="s">
        <v>454</v>
      </c>
      <c r="G277" s="134" t="s">
        <v>455</v>
      </c>
      <c r="H277" s="134" t="s">
        <v>230</v>
      </c>
      <c r="I277" s="134" t="s">
        <v>231</v>
      </c>
      <c r="J277" s="135">
        <v>193260.6</v>
      </c>
    </row>
    <row r="278" spans="1:11" ht="23.25" thickBot="1" x14ac:dyDescent="0.3">
      <c r="A278" s="139" t="s">
        <v>90</v>
      </c>
      <c r="B278" s="139" t="s">
        <v>89</v>
      </c>
      <c r="C278" s="134" t="s">
        <v>161</v>
      </c>
      <c r="D278" s="134" t="s">
        <v>452</v>
      </c>
      <c r="E278" s="134" t="s">
        <v>453</v>
      </c>
      <c r="F278" s="134" t="s">
        <v>868</v>
      </c>
      <c r="G278" s="134" t="s">
        <v>869</v>
      </c>
      <c r="H278" s="134" t="s">
        <v>230</v>
      </c>
      <c r="I278" s="134" t="s">
        <v>231</v>
      </c>
      <c r="J278" s="136">
        <v>-184689.18</v>
      </c>
      <c r="K278" s="2"/>
    </row>
    <row r="279" spans="1:11" ht="23.25" thickBot="1" x14ac:dyDescent="0.3">
      <c r="A279" s="139" t="s">
        <v>90</v>
      </c>
      <c r="B279" s="139" t="s">
        <v>89</v>
      </c>
      <c r="C279" s="134" t="s">
        <v>161</v>
      </c>
      <c r="D279" s="134" t="s">
        <v>452</v>
      </c>
      <c r="E279" s="134" t="s">
        <v>453</v>
      </c>
      <c r="F279" s="134" t="s">
        <v>454</v>
      </c>
      <c r="G279" s="134" t="s">
        <v>455</v>
      </c>
      <c r="H279" s="134" t="s">
        <v>230</v>
      </c>
      <c r="I279" s="134" t="s">
        <v>231</v>
      </c>
      <c r="J279" s="135">
        <v>-235056</v>
      </c>
    </row>
    <row r="280" spans="1:11" ht="15.75" thickBot="1" x14ac:dyDescent="0.3">
      <c r="A280" s="139" t="s">
        <v>90</v>
      </c>
      <c r="B280" s="139" t="s">
        <v>89</v>
      </c>
      <c r="C280" s="134" t="s">
        <v>161</v>
      </c>
      <c r="D280" s="352" t="s">
        <v>64</v>
      </c>
      <c r="E280" s="354"/>
      <c r="F280" s="354"/>
      <c r="G280" s="354"/>
      <c r="H280" s="354"/>
      <c r="I280" s="353"/>
      <c r="J280" s="137">
        <v>-4325438.5199999996</v>
      </c>
    </row>
    <row r="281" spans="1:11" ht="15.75" thickBot="1" x14ac:dyDescent="0.3">
      <c r="A281" s="139" t="s">
        <v>90</v>
      </c>
      <c r="B281" s="139" t="s">
        <v>89</v>
      </c>
      <c r="C281" s="352" t="s">
        <v>64</v>
      </c>
      <c r="D281" s="354"/>
      <c r="E281" s="354"/>
      <c r="F281" s="354"/>
      <c r="G281" s="354"/>
      <c r="H281" s="354"/>
      <c r="I281" s="353"/>
      <c r="J281" s="137">
        <v>-4325438.5199999996</v>
      </c>
    </row>
    <row r="283" spans="1:11" ht="15.75" thickBot="1" x14ac:dyDescent="0.3">
      <c r="A283" s="80" t="s">
        <v>879</v>
      </c>
    </row>
    <row r="284" spans="1:11" ht="15.75" thickBot="1" x14ac:dyDescent="0.3">
      <c r="A284" s="347"/>
      <c r="B284" s="349"/>
      <c r="C284" s="140"/>
      <c r="D284" s="134" t="s">
        <v>95</v>
      </c>
    </row>
    <row r="285" spans="1:11" ht="15.75" thickBot="1" x14ac:dyDescent="0.3">
      <c r="A285" s="350" t="s">
        <v>94</v>
      </c>
      <c r="B285" s="351"/>
      <c r="C285" s="134" t="s">
        <v>188</v>
      </c>
      <c r="D285" s="140" t="s">
        <v>91</v>
      </c>
    </row>
    <row r="286" spans="1:11" ht="23.25" thickBot="1" x14ac:dyDescent="0.3">
      <c r="A286" s="139" t="s">
        <v>163</v>
      </c>
      <c r="B286" s="139" t="s">
        <v>164</v>
      </c>
      <c r="C286" s="134" t="s">
        <v>531</v>
      </c>
      <c r="D286" s="136">
        <v>20834580.989999998</v>
      </c>
    </row>
    <row r="287" spans="1:11" ht="23.25" thickBot="1" x14ac:dyDescent="0.3">
      <c r="A287" s="139" t="s">
        <v>163</v>
      </c>
      <c r="B287" s="139" t="s">
        <v>164</v>
      </c>
      <c r="C287" s="134" t="s">
        <v>529</v>
      </c>
      <c r="D287" s="135">
        <v>683834.77</v>
      </c>
    </row>
    <row r="288" spans="1:11" ht="23.25" thickBot="1" x14ac:dyDescent="0.3">
      <c r="A288" s="139" t="s">
        <v>163</v>
      </c>
      <c r="B288" s="139" t="s">
        <v>164</v>
      </c>
      <c r="C288" s="134" t="s">
        <v>527</v>
      </c>
      <c r="D288" s="136">
        <v>424321.63</v>
      </c>
      <c r="E288" s="250" t="s">
        <v>597</v>
      </c>
    </row>
    <row r="289" spans="1:7" ht="23.25" thickBot="1" x14ac:dyDescent="0.3">
      <c r="A289" s="139" t="s">
        <v>163</v>
      </c>
      <c r="B289" s="139" t="s">
        <v>164</v>
      </c>
      <c r="C289" s="134" t="s">
        <v>525</v>
      </c>
      <c r="D289" s="135">
        <v>5319517.72</v>
      </c>
      <c r="E289" s="250" t="s">
        <v>596</v>
      </c>
    </row>
    <row r="290" spans="1:7" ht="23.25" thickBot="1" x14ac:dyDescent="0.3">
      <c r="A290" s="139" t="s">
        <v>163</v>
      </c>
      <c r="B290" s="139" t="s">
        <v>164</v>
      </c>
      <c r="C290" s="134" t="s">
        <v>523</v>
      </c>
      <c r="D290" s="136">
        <v>732905.9</v>
      </c>
    </row>
    <row r="291" spans="1:7" ht="23.25" thickBot="1" x14ac:dyDescent="0.3">
      <c r="A291" s="139" t="s">
        <v>163</v>
      </c>
      <c r="B291" s="139" t="s">
        <v>164</v>
      </c>
      <c r="C291" s="134" t="s">
        <v>521</v>
      </c>
      <c r="D291" s="135">
        <v>47930.76</v>
      </c>
    </row>
    <row r="292" spans="1:7" ht="23.25" thickBot="1" x14ac:dyDescent="0.3">
      <c r="A292" s="139" t="s">
        <v>163</v>
      </c>
      <c r="B292" s="139" t="s">
        <v>164</v>
      </c>
      <c r="C292" s="134" t="s">
        <v>517</v>
      </c>
      <c r="D292" s="136">
        <v>48365.64</v>
      </c>
    </row>
    <row r="293" spans="1:7" ht="23.25" thickBot="1" x14ac:dyDescent="0.3">
      <c r="A293" s="139" t="s">
        <v>163</v>
      </c>
      <c r="B293" s="139" t="s">
        <v>164</v>
      </c>
      <c r="C293" s="134" t="s">
        <v>515</v>
      </c>
      <c r="D293" s="135">
        <v>3020979.51</v>
      </c>
      <c r="E293" s="250" t="s">
        <v>595</v>
      </c>
    </row>
    <row r="294" spans="1:7" ht="23.25" thickBot="1" x14ac:dyDescent="0.3">
      <c r="A294" s="139" t="s">
        <v>163</v>
      </c>
      <c r="B294" s="139" t="s">
        <v>164</v>
      </c>
      <c r="C294" s="134" t="s">
        <v>114</v>
      </c>
      <c r="D294" s="136">
        <v>4344.76</v>
      </c>
    </row>
    <row r="295" spans="1:7" ht="23.25" thickBot="1" x14ac:dyDescent="0.3">
      <c r="A295" s="139" t="s">
        <v>163</v>
      </c>
      <c r="B295" s="139" t="s">
        <v>164</v>
      </c>
      <c r="C295" s="134" t="s">
        <v>513</v>
      </c>
      <c r="D295" s="135">
        <v>105657.1</v>
      </c>
    </row>
    <row r="296" spans="1:7" ht="23.25" thickBot="1" x14ac:dyDescent="0.3">
      <c r="A296" s="139" t="s">
        <v>163</v>
      </c>
      <c r="B296" s="139" t="s">
        <v>164</v>
      </c>
      <c r="C296" s="143" t="s">
        <v>64</v>
      </c>
      <c r="D296" s="137">
        <v>31222438.780000001</v>
      </c>
    </row>
    <row r="298" spans="1:7" ht="15.75" thickBot="1" x14ac:dyDescent="0.3">
      <c r="A298" s="80" t="s">
        <v>83</v>
      </c>
    </row>
    <row r="299" spans="1:7" ht="15.75" thickBot="1" x14ac:dyDescent="0.3">
      <c r="A299" s="347"/>
      <c r="B299" s="348"/>
      <c r="C299" s="348"/>
      <c r="D299" s="348"/>
      <c r="E299" s="349"/>
      <c r="F299" s="140"/>
      <c r="G299" s="134" t="s">
        <v>95</v>
      </c>
    </row>
    <row r="300" spans="1:7" ht="15.75" thickBot="1" x14ac:dyDescent="0.3">
      <c r="A300" s="350" t="s">
        <v>94</v>
      </c>
      <c r="B300" s="351"/>
      <c r="C300" s="350" t="s">
        <v>92</v>
      </c>
      <c r="D300" s="351"/>
      <c r="E300" s="134" t="s">
        <v>209</v>
      </c>
      <c r="F300" s="141"/>
      <c r="G300" s="140" t="s">
        <v>91</v>
      </c>
    </row>
    <row r="301" spans="1:7" ht="68.25" thickBot="1" x14ac:dyDescent="0.3">
      <c r="A301" s="139" t="s">
        <v>90</v>
      </c>
      <c r="B301" s="139" t="s">
        <v>89</v>
      </c>
      <c r="C301" s="134" t="s">
        <v>69</v>
      </c>
      <c r="D301" s="134" t="s">
        <v>880</v>
      </c>
      <c r="E301" s="134" t="s">
        <v>58</v>
      </c>
      <c r="F301" s="134" t="s">
        <v>59</v>
      </c>
      <c r="G301" s="136">
        <v>2054.02</v>
      </c>
    </row>
    <row r="302" spans="1:7" ht="68.25" thickBot="1" x14ac:dyDescent="0.3">
      <c r="A302" s="139" t="s">
        <v>90</v>
      </c>
      <c r="B302" s="139" t="s">
        <v>89</v>
      </c>
      <c r="C302" s="134" t="s">
        <v>69</v>
      </c>
      <c r="D302" s="134" t="s">
        <v>880</v>
      </c>
      <c r="E302" s="352" t="s">
        <v>64</v>
      </c>
      <c r="F302" s="353"/>
      <c r="G302" s="137">
        <v>2054.02</v>
      </c>
    </row>
    <row r="303" spans="1:7" ht="57" thickBot="1" x14ac:dyDescent="0.3">
      <c r="A303" s="139" t="s">
        <v>90</v>
      </c>
      <c r="B303" s="139" t="s">
        <v>89</v>
      </c>
      <c r="C303" s="134" t="s">
        <v>61</v>
      </c>
      <c r="D303" s="134" t="s">
        <v>881</v>
      </c>
      <c r="E303" s="134" t="s">
        <v>58</v>
      </c>
      <c r="F303" s="134" t="s">
        <v>59</v>
      </c>
      <c r="G303" s="136">
        <v>329235973.62</v>
      </c>
    </row>
    <row r="304" spans="1:7" ht="57" thickBot="1" x14ac:dyDescent="0.3">
      <c r="A304" s="139" t="s">
        <v>90</v>
      </c>
      <c r="B304" s="139" t="s">
        <v>89</v>
      </c>
      <c r="C304" s="134" t="s">
        <v>61</v>
      </c>
      <c r="D304" s="134" t="s">
        <v>881</v>
      </c>
      <c r="E304" s="352" t="s">
        <v>64</v>
      </c>
      <c r="F304" s="353"/>
      <c r="G304" s="137">
        <v>329235973.62</v>
      </c>
    </row>
    <row r="305" spans="1:7" ht="45.75" thickBot="1" x14ac:dyDescent="0.3">
      <c r="A305" s="139" t="s">
        <v>90</v>
      </c>
      <c r="B305" s="139" t="s">
        <v>89</v>
      </c>
      <c r="C305" s="134" t="s">
        <v>79</v>
      </c>
      <c r="D305" s="134" t="s">
        <v>882</v>
      </c>
      <c r="E305" s="134" t="s">
        <v>58</v>
      </c>
      <c r="F305" s="134" t="s">
        <v>59</v>
      </c>
      <c r="G305" s="136">
        <v>685.31</v>
      </c>
    </row>
    <row r="306" spans="1:7" ht="45.75" thickBot="1" x14ac:dyDescent="0.3">
      <c r="A306" s="139" t="s">
        <v>90</v>
      </c>
      <c r="B306" s="139" t="s">
        <v>89</v>
      </c>
      <c r="C306" s="134" t="s">
        <v>79</v>
      </c>
      <c r="D306" s="134" t="s">
        <v>882</v>
      </c>
      <c r="E306" s="352" t="s">
        <v>64</v>
      </c>
      <c r="F306" s="353"/>
      <c r="G306" s="137">
        <v>685.31</v>
      </c>
    </row>
    <row r="307" spans="1:7" ht="45.75" thickBot="1" x14ac:dyDescent="0.3">
      <c r="A307" s="139" t="s">
        <v>90</v>
      </c>
      <c r="B307" s="139" t="s">
        <v>89</v>
      </c>
      <c r="C307" s="134" t="s">
        <v>883</v>
      </c>
      <c r="D307" s="134" t="s">
        <v>884</v>
      </c>
      <c r="E307" s="134" t="s">
        <v>58</v>
      </c>
      <c r="F307" s="134" t="s">
        <v>59</v>
      </c>
      <c r="G307" s="136">
        <v>46426.94</v>
      </c>
    </row>
    <row r="308" spans="1:7" ht="45.75" thickBot="1" x14ac:dyDescent="0.3">
      <c r="A308" s="139" t="s">
        <v>90</v>
      </c>
      <c r="B308" s="139" t="s">
        <v>89</v>
      </c>
      <c r="C308" s="134" t="s">
        <v>883</v>
      </c>
      <c r="D308" s="134" t="s">
        <v>884</v>
      </c>
      <c r="E308" s="352" t="s">
        <v>64</v>
      </c>
      <c r="F308" s="353"/>
      <c r="G308" s="137">
        <v>46426.94</v>
      </c>
    </row>
    <row r="309" spans="1:7" ht="45.75" thickBot="1" x14ac:dyDescent="0.3">
      <c r="A309" s="139" t="s">
        <v>90</v>
      </c>
      <c r="B309" s="139" t="s">
        <v>89</v>
      </c>
      <c r="C309" s="134" t="s">
        <v>729</v>
      </c>
      <c r="D309" s="134" t="s">
        <v>885</v>
      </c>
      <c r="E309" s="134" t="s">
        <v>58</v>
      </c>
      <c r="F309" s="134" t="s">
        <v>59</v>
      </c>
      <c r="G309" s="136">
        <v>272.02</v>
      </c>
    </row>
    <row r="310" spans="1:7" ht="45.75" thickBot="1" x14ac:dyDescent="0.3">
      <c r="A310" s="139" t="s">
        <v>90</v>
      </c>
      <c r="B310" s="139" t="s">
        <v>89</v>
      </c>
      <c r="C310" s="134" t="s">
        <v>729</v>
      </c>
      <c r="D310" s="134" t="s">
        <v>885</v>
      </c>
      <c r="E310" s="352" t="s">
        <v>64</v>
      </c>
      <c r="F310" s="353"/>
      <c r="G310" s="137">
        <v>272.02</v>
      </c>
    </row>
    <row r="311" spans="1:7" ht="45.75" thickBot="1" x14ac:dyDescent="0.3">
      <c r="A311" s="139" t="s">
        <v>90</v>
      </c>
      <c r="B311" s="139" t="s">
        <v>89</v>
      </c>
      <c r="C311" s="134" t="s">
        <v>886</v>
      </c>
      <c r="D311" s="134" t="s">
        <v>887</v>
      </c>
      <c r="E311" s="134" t="s">
        <v>58</v>
      </c>
      <c r="F311" s="134" t="s">
        <v>59</v>
      </c>
      <c r="G311" s="136">
        <v>6498.97</v>
      </c>
    </row>
    <row r="312" spans="1:7" ht="34.5" thickBot="1" x14ac:dyDescent="0.3">
      <c r="A312" s="139" t="s">
        <v>90</v>
      </c>
      <c r="B312" s="139" t="s">
        <v>89</v>
      </c>
      <c r="C312" s="134" t="s">
        <v>886</v>
      </c>
      <c r="D312" s="134" t="s">
        <v>887</v>
      </c>
      <c r="E312" s="352" t="s">
        <v>64</v>
      </c>
      <c r="F312" s="353"/>
      <c r="G312" s="137">
        <v>6498.97</v>
      </c>
    </row>
    <row r="313" spans="1:7" ht="45.75" thickBot="1" x14ac:dyDescent="0.3">
      <c r="A313" s="139" t="s">
        <v>90</v>
      </c>
      <c r="B313" s="139" t="s">
        <v>89</v>
      </c>
      <c r="C313" s="134" t="s">
        <v>552</v>
      </c>
      <c r="D313" s="134" t="s">
        <v>888</v>
      </c>
      <c r="E313" s="134" t="s">
        <v>58</v>
      </c>
      <c r="F313" s="134" t="s">
        <v>59</v>
      </c>
      <c r="G313" s="136">
        <v>1612.79</v>
      </c>
    </row>
    <row r="314" spans="1:7" ht="45.75" thickBot="1" x14ac:dyDescent="0.3">
      <c r="A314" s="139" t="s">
        <v>90</v>
      </c>
      <c r="B314" s="139" t="s">
        <v>89</v>
      </c>
      <c r="C314" s="134" t="s">
        <v>552</v>
      </c>
      <c r="D314" s="134" t="s">
        <v>888</v>
      </c>
      <c r="E314" s="352" t="s">
        <v>64</v>
      </c>
      <c r="F314" s="353"/>
      <c r="G314" s="137">
        <v>1612.79</v>
      </c>
    </row>
    <row r="315" spans="1:7" ht="15.75" thickBot="1" x14ac:dyDescent="0.3">
      <c r="A315" s="139" t="s">
        <v>90</v>
      </c>
      <c r="B315" s="139" t="s">
        <v>89</v>
      </c>
      <c r="C315" s="352" t="s">
        <v>64</v>
      </c>
      <c r="D315" s="354"/>
      <c r="E315" s="354"/>
      <c r="F315" s="353"/>
      <c r="G315" s="137">
        <v>329293523.67000002</v>
      </c>
    </row>
    <row r="316" spans="1:7" ht="57" thickBot="1" x14ac:dyDescent="0.3">
      <c r="A316" s="132" t="s">
        <v>54</v>
      </c>
      <c r="B316" s="133" t="s">
        <v>55</v>
      </c>
      <c r="C316" s="134" t="s">
        <v>61</v>
      </c>
      <c r="D316" s="134" t="s">
        <v>881</v>
      </c>
      <c r="E316" s="134" t="s">
        <v>58</v>
      </c>
      <c r="F316" s="134" t="s">
        <v>59</v>
      </c>
      <c r="G316" s="135">
        <v>89014533.510000005</v>
      </c>
    </row>
    <row r="317" spans="1:7" ht="57" thickBot="1" x14ac:dyDescent="0.3">
      <c r="A317" s="132" t="s">
        <v>54</v>
      </c>
      <c r="B317" s="133" t="s">
        <v>55</v>
      </c>
      <c r="C317" s="134" t="s">
        <v>61</v>
      </c>
      <c r="D317" s="134" t="s">
        <v>881</v>
      </c>
      <c r="E317" s="352" t="s">
        <v>64</v>
      </c>
      <c r="F317" s="353"/>
      <c r="G317" s="137">
        <v>89014533.510000005</v>
      </c>
    </row>
    <row r="318" spans="1:7" ht="15.75" thickBot="1" x14ac:dyDescent="0.3">
      <c r="A318" s="132" t="s">
        <v>54</v>
      </c>
      <c r="B318" s="133" t="s">
        <v>55</v>
      </c>
      <c r="C318" s="352" t="s">
        <v>64</v>
      </c>
      <c r="D318" s="354"/>
      <c r="E318" s="354"/>
      <c r="F318" s="353"/>
      <c r="G318" s="137">
        <v>89014533.510000005</v>
      </c>
    </row>
    <row r="319" spans="1:7" ht="57" thickBot="1" x14ac:dyDescent="0.3">
      <c r="A319" s="132" t="s">
        <v>65</v>
      </c>
      <c r="B319" s="133" t="s">
        <v>26</v>
      </c>
      <c r="C319" s="134" t="s">
        <v>61</v>
      </c>
      <c r="D319" s="134" t="s">
        <v>881</v>
      </c>
      <c r="E319" s="134" t="s">
        <v>58</v>
      </c>
      <c r="F319" s="134" t="s">
        <v>59</v>
      </c>
      <c r="G319" s="136">
        <v>4133348.93</v>
      </c>
    </row>
    <row r="320" spans="1:7" ht="57" thickBot="1" x14ac:dyDescent="0.3">
      <c r="A320" s="132" t="s">
        <v>65</v>
      </c>
      <c r="B320" s="133" t="s">
        <v>26</v>
      </c>
      <c r="C320" s="134" t="s">
        <v>61</v>
      </c>
      <c r="D320" s="134" t="s">
        <v>881</v>
      </c>
      <c r="E320" s="352" t="s">
        <v>64</v>
      </c>
      <c r="F320" s="353"/>
      <c r="G320" s="137">
        <v>4133348.93</v>
      </c>
    </row>
    <row r="321" spans="1:7" ht="15.75" thickBot="1" x14ac:dyDescent="0.3">
      <c r="A321" s="132" t="s">
        <v>65</v>
      </c>
      <c r="B321" s="133" t="s">
        <v>26</v>
      </c>
      <c r="C321" s="352" t="s">
        <v>64</v>
      </c>
      <c r="D321" s="354"/>
      <c r="E321" s="354"/>
      <c r="F321" s="353"/>
      <c r="G321" s="137">
        <v>4133348.93</v>
      </c>
    </row>
    <row r="322" spans="1:7" ht="57" thickBot="1" x14ac:dyDescent="0.3">
      <c r="A322" s="132" t="s">
        <v>66</v>
      </c>
      <c r="B322" s="133" t="s">
        <v>67</v>
      </c>
      <c r="C322" s="134" t="s">
        <v>61</v>
      </c>
      <c r="D322" s="134" t="s">
        <v>881</v>
      </c>
      <c r="E322" s="134" t="s">
        <v>58</v>
      </c>
      <c r="F322" s="134" t="s">
        <v>59</v>
      </c>
      <c r="G322" s="135">
        <v>92446015.620000005</v>
      </c>
    </row>
    <row r="323" spans="1:7" ht="57" thickBot="1" x14ac:dyDescent="0.3">
      <c r="A323" s="132" t="s">
        <v>66</v>
      </c>
      <c r="B323" s="133" t="s">
        <v>67</v>
      </c>
      <c r="C323" s="134" t="s">
        <v>61</v>
      </c>
      <c r="D323" s="134" t="s">
        <v>881</v>
      </c>
      <c r="E323" s="352" t="s">
        <v>64</v>
      </c>
      <c r="F323" s="353"/>
      <c r="G323" s="137">
        <v>92446015.620000005</v>
      </c>
    </row>
    <row r="324" spans="1:7" ht="15.75" thickBot="1" x14ac:dyDescent="0.3">
      <c r="A324" s="132" t="s">
        <v>66</v>
      </c>
      <c r="B324" s="133" t="s">
        <v>67</v>
      </c>
      <c r="C324" s="352" t="s">
        <v>64</v>
      </c>
      <c r="D324" s="354"/>
      <c r="E324" s="354"/>
      <c r="F324" s="353"/>
      <c r="G324" s="137">
        <v>92446015.620000005</v>
      </c>
    </row>
    <row r="325" spans="1:7" ht="57" thickBot="1" x14ac:dyDescent="0.3">
      <c r="A325" s="132" t="s">
        <v>72</v>
      </c>
      <c r="B325" s="133" t="s">
        <v>73</v>
      </c>
      <c r="C325" s="134" t="s">
        <v>61</v>
      </c>
      <c r="D325" s="134" t="s">
        <v>881</v>
      </c>
      <c r="E325" s="134" t="s">
        <v>58</v>
      </c>
      <c r="F325" s="134" t="s">
        <v>59</v>
      </c>
      <c r="G325" s="136">
        <v>14670256.640000001</v>
      </c>
    </row>
    <row r="326" spans="1:7" ht="57" thickBot="1" x14ac:dyDescent="0.3">
      <c r="A326" s="132" t="s">
        <v>72</v>
      </c>
      <c r="B326" s="133" t="s">
        <v>73</v>
      </c>
      <c r="C326" s="134" t="s">
        <v>61</v>
      </c>
      <c r="D326" s="134" t="s">
        <v>881</v>
      </c>
      <c r="E326" s="352" t="s">
        <v>64</v>
      </c>
      <c r="F326" s="353"/>
      <c r="G326" s="137">
        <v>14670256.640000001</v>
      </c>
    </row>
    <row r="327" spans="1:7" ht="15.75" thickBot="1" x14ac:dyDescent="0.3">
      <c r="A327" s="132" t="s">
        <v>72</v>
      </c>
      <c r="B327" s="133" t="s">
        <v>73</v>
      </c>
      <c r="C327" s="352" t="s">
        <v>64</v>
      </c>
      <c r="D327" s="354"/>
      <c r="E327" s="354"/>
      <c r="F327" s="353"/>
      <c r="G327" s="137">
        <v>14670256.640000001</v>
      </c>
    </row>
    <row r="328" spans="1:7" ht="57" thickBot="1" x14ac:dyDescent="0.3">
      <c r="A328" s="132" t="s">
        <v>76</v>
      </c>
      <c r="B328" s="133" t="s">
        <v>77</v>
      </c>
      <c r="C328" s="134" t="s">
        <v>61</v>
      </c>
      <c r="D328" s="134" t="s">
        <v>881</v>
      </c>
      <c r="E328" s="134" t="s">
        <v>58</v>
      </c>
      <c r="F328" s="134" t="s">
        <v>59</v>
      </c>
      <c r="G328" s="135">
        <v>51556782.079999998</v>
      </c>
    </row>
    <row r="329" spans="1:7" ht="57" thickBot="1" x14ac:dyDescent="0.3">
      <c r="A329" s="132" t="s">
        <v>76</v>
      </c>
      <c r="B329" s="133" t="s">
        <v>77</v>
      </c>
      <c r="C329" s="134" t="s">
        <v>61</v>
      </c>
      <c r="D329" s="134" t="s">
        <v>881</v>
      </c>
      <c r="E329" s="352" t="s">
        <v>64</v>
      </c>
      <c r="F329" s="353"/>
      <c r="G329" s="137">
        <v>51556782.079999998</v>
      </c>
    </row>
    <row r="330" spans="1:7" ht="15.75" thickBot="1" x14ac:dyDescent="0.3">
      <c r="A330" s="132" t="s">
        <v>76</v>
      </c>
      <c r="B330" s="133" t="s">
        <v>77</v>
      </c>
      <c r="C330" s="352" t="s">
        <v>64</v>
      </c>
      <c r="D330" s="354"/>
      <c r="E330" s="354"/>
      <c r="F330" s="353"/>
      <c r="G330" s="137">
        <v>51556782.079999998</v>
      </c>
    </row>
    <row r="331" spans="1:7" ht="68.25" thickBot="1" x14ac:dyDescent="0.3">
      <c r="A331" s="132" t="s">
        <v>80</v>
      </c>
      <c r="B331" s="133" t="s">
        <v>24</v>
      </c>
      <c r="C331" s="134" t="s">
        <v>69</v>
      </c>
      <c r="D331" s="134" t="s">
        <v>880</v>
      </c>
      <c r="E331" s="134" t="s">
        <v>58</v>
      </c>
      <c r="F331" s="134" t="s">
        <v>59</v>
      </c>
      <c r="G331" s="136">
        <v>2054.02</v>
      </c>
    </row>
    <row r="332" spans="1:7" ht="68.25" thickBot="1" x14ac:dyDescent="0.3">
      <c r="A332" s="132" t="s">
        <v>80</v>
      </c>
      <c r="B332" s="133" t="s">
        <v>24</v>
      </c>
      <c r="C332" s="134" t="s">
        <v>69</v>
      </c>
      <c r="D332" s="134" t="s">
        <v>880</v>
      </c>
      <c r="E332" s="352" t="s">
        <v>64</v>
      </c>
      <c r="F332" s="353"/>
      <c r="G332" s="137">
        <v>2054.02</v>
      </c>
    </row>
    <row r="333" spans="1:7" ht="57" thickBot="1" x14ac:dyDescent="0.3">
      <c r="A333" s="132" t="s">
        <v>80</v>
      </c>
      <c r="B333" s="133" t="s">
        <v>24</v>
      </c>
      <c r="C333" s="134" t="s">
        <v>61</v>
      </c>
      <c r="D333" s="134" t="s">
        <v>881</v>
      </c>
      <c r="E333" s="134" t="s">
        <v>58</v>
      </c>
      <c r="F333" s="134" t="s">
        <v>59</v>
      </c>
      <c r="G333" s="136">
        <v>77415036.840000004</v>
      </c>
    </row>
    <row r="334" spans="1:7" ht="57" thickBot="1" x14ac:dyDescent="0.3">
      <c r="A334" s="132" t="s">
        <v>80</v>
      </c>
      <c r="B334" s="133" t="s">
        <v>24</v>
      </c>
      <c r="C334" s="134" t="s">
        <v>61</v>
      </c>
      <c r="D334" s="134" t="s">
        <v>881</v>
      </c>
      <c r="E334" s="352" t="s">
        <v>64</v>
      </c>
      <c r="F334" s="353"/>
      <c r="G334" s="137">
        <v>77415036.840000004</v>
      </c>
    </row>
    <row r="335" spans="1:7" ht="45.75" thickBot="1" x14ac:dyDescent="0.3">
      <c r="A335" s="132" t="s">
        <v>80</v>
      </c>
      <c r="B335" s="133" t="s">
        <v>24</v>
      </c>
      <c r="C335" s="134" t="s">
        <v>79</v>
      </c>
      <c r="D335" s="134" t="s">
        <v>882</v>
      </c>
      <c r="E335" s="134" t="s">
        <v>58</v>
      </c>
      <c r="F335" s="134" t="s">
        <v>59</v>
      </c>
      <c r="G335" s="136">
        <v>685.31</v>
      </c>
    </row>
    <row r="336" spans="1:7" ht="45.75" thickBot="1" x14ac:dyDescent="0.3">
      <c r="A336" s="132" t="s">
        <v>80</v>
      </c>
      <c r="B336" s="133" t="s">
        <v>24</v>
      </c>
      <c r="C336" s="134" t="s">
        <v>79</v>
      </c>
      <c r="D336" s="134" t="s">
        <v>882</v>
      </c>
      <c r="E336" s="352" t="s">
        <v>64</v>
      </c>
      <c r="F336" s="353"/>
      <c r="G336" s="137">
        <v>685.31</v>
      </c>
    </row>
    <row r="337" spans="1:8" ht="45.75" thickBot="1" x14ac:dyDescent="0.3">
      <c r="A337" s="132" t="s">
        <v>80</v>
      </c>
      <c r="B337" s="133" t="s">
        <v>24</v>
      </c>
      <c r="C337" s="134" t="s">
        <v>883</v>
      </c>
      <c r="D337" s="134" t="s">
        <v>884</v>
      </c>
      <c r="E337" s="134" t="s">
        <v>58</v>
      </c>
      <c r="F337" s="134" t="s">
        <v>59</v>
      </c>
      <c r="G337" s="136">
        <v>46426.94</v>
      </c>
    </row>
    <row r="338" spans="1:8" ht="45.75" thickBot="1" x14ac:dyDescent="0.3">
      <c r="A338" s="132" t="s">
        <v>80</v>
      </c>
      <c r="B338" s="133" t="s">
        <v>24</v>
      </c>
      <c r="C338" s="134" t="s">
        <v>883</v>
      </c>
      <c r="D338" s="134" t="s">
        <v>884</v>
      </c>
      <c r="E338" s="352" t="s">
        <v>64</v>
      </c>
      <c r="F338" s="353"/>
      <c r="G338" s="137">
        <v>46426.94</v>
      </c>
    </row>
    <row r="339" spans="1:8" ht="45.75" thickBot="1" x14ac:dyDescent="0.3">
      <c r="A339" s="132" t="s">
        <v>80</v>
      </c>
      <c r="B339" s="133" t="s">
        <v>24</v>
      </c>
      <c r="C339" s="134" t="s">
        <v>729</v>
      </c>
      <c r="D339" s="134" t="s">
        <v>885</v>
      </c>
      <c r="E339" s="134" t="s">
        <v>58</v>
      </c>
      <c r="F339" s="134" t="s">
        <v>59</v>
      </c>
      <c r="G339" s="136">
        <v>272.02</v>
      </c>
    </row>
    <row r="340" spans="1:8" ht="45.75" thickBot="1" x14ac:dyDescent="0.3">
      <c r="A340" s="132" t="s">
        <v>80</v>
      </c>
      <c r="B340" s="133" t="s">
        <v>24</v>
      </c>
      <c r="C340" s="134" t="s">
        <v>729</v>
      </c>
      <c r="D340" s="134" t="s">
        <v>885</v>
      </c>
      <c r="E340" s="352" t="s">
        <v>64</v>
      </c>
      <c r="F340" s="353"/>
      <c r="G340" s="137">
        <v>272.02</v>
      </c>
    </row>
    <row r="341" spans="1:8" ht="45.75" thickBot="1" x14ac:dyDescent="0.3">
      <c r="A341" s="132" t="s">
        <v>80</v>
      </c>
      <c r="B341" s="133" t="s">
        <v>24</v>
      </c>
      <c r="C341" s="134" t="s">
        <v>886</v>
      </c>
      <c r="D341" s="134" t="s">
        <v>887</v>
      </c>
      <c r="E341" s="134" t="s">
        <v>58</v>
      </c>
      <c r="F341" s="134" t="s">
        <v>59</v>
      </c>
      <c r="G341" s="136">
        <v>6498.97</v>
      </c>
    </row>
    <row r="342" spans="1:8" ht="34.5" thickBot="1" x14ac:dyDescent="0.3">
      <c r="A342" s="132" t="s">
        <v>80</v>
      </c>
      <c r="B342" s="133" t="s">
        <v>24</v>
      </c>
      <c r="C342" s="134" t="s">
        <v>886</v>
      </c>
      <c r="D342" s="134" t="s">
        <v>887</v>
      </c>
      <c r="E342" s="352" t="s">
        <v>64</v>
      </c>
      <c r="F342" s="353"/>
      <c r="G342" s="137">
        <v>6498.97</v>
      </c>
    </row>
    <row r="343" spans="1:8" ht="45.75" thickBot="1" x14ac:dyDescent="0.3">
      <c r="A343" s="132" t="s">
        <v>80</v>
      </c>
      <c r="B343" s="133" t="s">
        <v>24</v>
      </c>
      <c r="C343" s="134" t="s">
        <v>552</v>
      </c>
      <c r="D343" s="134" t="s">
        <v>888</v>
      </c>
      <c r="E343" s="134" t="s">
        <v>58</v>
      </c>
      <c r="F343" s="134" t="s">
        <v>59</v>
      </c>
      <c r="G343" s="136">
        <v>1612.79</v>
      </c>
    </row>
    <row r="344" spans="1:8" ht="45.75" thickBot="1" x14ac:dyDescent="0.3">
      <c r="A344" s="132" t="s">
        <v>80</v>
      </c>
      <c r="B344" s="133" t="s">
        <v>24</v>
      </c>
      <c r="C344" s="134" t="s">
        <v>552</v>
      </c>
      <c r="D344" s="134" t="s">
        <v>888</v>
      </c>
      <c r="E344" s="352" t="s">
        <v>64</v>
      </c>
      <c r="F344" s="353"/>
      <c r="G344" s="137">
        <v>1612.79</v>
      </c>
    </row>
    <row r="345" spans="1:8" ht="15.75" thickBot="1" x14ac:dyDescent="0.3">
      <c r="A345" s="132" t="s">
        <v>80</v>
      </c>
      <c r="B345" s="133" t="s">
        <v>24</v>
      </c>
      <c r="C345" s="352" t="s">
        <v>64</v>
      </c>
      <c r="D345" s="354"/>
      <c r="E345" s="354"/>
      <c r="F345" s="353"/>
      <c r="G345" s="137">
        <v>77472586.890000001</v>
      </c>
    </row>
    <row r="346" spans="1:8" ht="15.75" thickBot="1" x14ac:dyDescent="0.3"/>
    <row r="347" spans="1:8" ht="15.75" thickBot="1" x14ac:dyDescent="0.3">
      <c r="A347" s="347"/>
      <c r="B347" s="348"/>
      <c r="C347" s="348"/>
      <c r="D347" s="348"/>
      <c r="E347" s="348"/>
      <c r="F347" s="349"/>
      <c r="G347" s="140"/>
      <c r="H347" s="134" t="s">
        <v>95</v>
      </c>
    </row>
    <row r="348" spans="1:8" ht="15.75" thickBot="1" x14ac:dyDescent="0.3">
      <c r="A348" s="350" t="s">
        <v>94</v>
      </c>
      <c r="B348" s="351"/>
      <c r="C348" s="350" t="s">
        <v>92</v>
      </c>
      <c r="D348" s="351"/>
      <c r="E348" s="350" t="s">
        <v>209</v>
      </c>
      <c r="F348" s="351"/>
      <c r="G348" s="134" t="s">
        <v>229</v>
      </c>
      <c r="H348" s="140" t="s">
        <v>91</v>
      </c>
    </row>
    <row r="349" spans="1:8" ht="57" thickBot="1" x14ac:dyDescent="0.3">
      <c r="A349" s="139" t="s">
        <v>90</v>
      </c>
      <c r="B349" s="139" t="s">
        <v>89</v>
      </c>
      <c r="C349" s="134" t="s">
        <v>61</v>
      </c>
      <c r="D349" s="134" t="s">
        <v>881</v>
      </c>
      <c r="E349" s="134" t="s">
        <v>889</v>
      </c>
      <c r="F349" s="134" t="s">
        <v>890</v>
      </c>
      <c r="G349" s="134" t="s">
        <v>891</v>
      </c>
      <c r="H349" s="136">
        <v>4283.18</v>
      </c>
    </row>
    <row r="350" spans="1:8" ht="57" thickBot="1" x14ac:dyDescent="0.3">
      <c r="A350" s="139" t="s">
        <v>90</v>
      </c>
      <c r="B350" s="139" t="s">
        <v>89</v>
      </c>
      <c r="C350" s="134" t="s">
        <v>61</v>
      </c>
      <c r="D350" s="134" t="s">
        <v>881</v>
      </c>
      <c r="E350" s="134" t="s">
        <v>889</v>
      </c>
      <c r="F350" s="134" t="s">
        <v>890</v>
      </c>
      <c r="G350" s="134" t="s">
        <v>892</v>
      </c>
      <c r="H350" s="135">
        <v>3057.41</v>
      </c>
    </row>
    <row r="351" spans="1:8" ht="57" thickBot="1" x14ac:dyDescent="0.3">
      <c r="A351" s="139" t="s">
        <v>90</v>
      </c>
      <c r="B351" s="139" t="s">
        <v>89</v>
      </c>
      <c r="C351" s="134" t="s">
        <v>61</v>
      </c>
      <c r="D351" s="134" t="s">
        <v>881</v>
      </c>
      <c r="E351" s="134" t="s">
        <v>889</v>
      </c>
      <c r="F351" s="134" t="s">
        <v>890</v>
      </c>
      <c r="G351" s="143" t="s">
        <v>64</v>
      </c>
      <c r="H351" s="137">
        <v>7340.59</v>
      </c>
    </row>
    <row r="352" spans="1:8" ht="57" thickBot="1" x14ac:dyDescent="0.3">
      <c r="A352" s="139" t="s">
        <v>90</v>
      </c>
      <c r="B352" s="139" t="s">
        <v>89</v>
      </c>
      <c r="C352" s="134" t="s">
        <v>61</v>
      </c>
      <c r="D352" s="134" t="s">
        <v>881</v>
      </c>
      <c r="E352" s="352" t="s">
        <v>64</v>
      </c>
      <c r="F352" s="354"/>
      <c r="G352" s="353"/>
      <c r="H352" s="137">
        <v>7340.59</v>
      </c>
    </row>
    <row r="353" spans="1:8" ht="34.5" thickBot="1" x14ac:dyDescent="0.3">
      <c r="A353" s="139" t="s">
        <v>90</v>
      </c>
      <c r="B353" s="139" t="s">
        <v>89</v>
      </c>
      <c r="C353" s="134" t="s">
        <v>63</v>
      </c>
      <c r="D353" s="134" t="s">
        <v>893</v>
      </c>
      <c r="E353" s="134" t="s">
        <v>214</v>
      </c>
      <c r="F353" s="134" t="s">
        <v>215</v>
      </c>
      <c r="G353" s="134" t="s">
        <v>894</v>
      </c>
      <c r="H353" s="136">
        <v>21988</v>
      </c>
    </row>
    <row r="354" spans="1:8" ht="34.5" thickBot="1" x14ac:dyDescent="0.3">
      <c r="A354" s="139" t="s">
        <v>90</v>
      </c>
      <c r="B354" s="139" t="s">
        <v>89</v>
      </c>
      <c r="C354" s="134" t="s">
        <v>63</v>
      </c>
      <c r="D354" s="134" t="s">
        <v>893</v>
      </c>
      <c r="E354" s="134" t="s">
        <v>214</v>
      </c>
      <c r="F354" s="134" t="s">
        <v>215</v>
      </c>
      <c r="G354" s="134" t="s">
        <v>895</v>
      </c>
      <c r="H354" s="135">
        <v>21988</v>
      </c>
    </row>
    <row r="355" spans="1:8" ht="34.5" thickBot="1" x14ac:dyDescent="0.3">
      <c r="A355" s="139" t="s">
        <v>90</v>
      </c>
      <c r="B355" s="139" t="s">
        <v>89</v>
      </c>
      <c r="C355" s="134" t="s">
        <v>63</v>
      </c>
      <c r="D355" s="134" t="s">
        <v>893</v>
      </c>
      <c r="E355" s="134" t="s">
        <v>214</v>
      </c>
      <c r="F355" s="134" t="s">
        <v>215</v>
      </c>
      <c r="G355" s="134" t="s">
        <v>896</v>
      </c>
      <c r="H355" s="136">
        <v>21988</v>
      </c>
    </row>
    <row r="356" spans="1:8" ht="34.5" thickBot="1" x14ac:dyDescent="0.3">
      <c r="A356" s="139" t="s">
        <v>90</v>
      </c>
      <c r="B356" s="139" t="s">
        <v>89</v>
      </c>
      <c r="C356" s="134" t="s">
        <v>63</v>
      </c>
      <c r="D356" s="134" t="s">
        <v>893</v>
      </c>
      <c r="E356" s="134" t="s">
        <v>214</v>
      </c>
      <c r="F356" s="134" t="s">
        <v>215</v>
      </c>
      <c r="G356" s="134" t="s">
        <v>897</v>
      </c>
      <c r="H356" s="135">
        <v>21988</v>
      </c>
    </row>
    <row r="357" spans="1:8" ht="34.5" thickBot="1" x14ac:dyDescent="0.3">
      <c r="A357" s="139" t="s">
        <v>90</v>
      </c>
      <c r="B357" s="139" t="s">
        <v>89</v>
      </c>
      <c r="C357" s="134" t="s">
        <v>63</v>
      </c>
      <c r="D357" s="134" t="s">
        <v>893</v>
      </c>
      <c r="E357" s="134" t="s">
        <v>214</v>
      </c>
      <c r="F357" s="134" t="s">
        <v>215</v>
      </c>
      <c r="G357" s="134" t="s">
        <v>898</v>
      </c>
      <c r="H357" s="136">
        <v>21988</v>
      </c>
    </row>
    <row r="358" spans="1:8" ht="34.5" thickBot="1" x14ac:dyDescent="0.3">
      <c r="A358" s="139" t="s">
        <v>90</v>
      </c>
      <c r="B358" s="139" t="s">
        <v>89</v>
      </c>
      <c r="C358" s="134" t="s">
        <v>63</v>
      </c>
      <c r="D358" s="134" t="s">
        <v>893</v>
      </c>
      <c r="E358" s="134" t="s">
        <v>214</v>
      </c>
      <c r="F358" s="134" t="s">
        <v>215</v>
      </c>
      <c r="G358" s="134" t="s">
        <v>899</v>
      </c>
      <c r="H358" s="135">
        <v>21988</v>
      </c>
    </row>
    <row r="359" spans="1:8" ht="34.5" thickBot="1" x14ac:dyDescent="0.3">
      <c r="A359" s="139" t="s">
        <v>90</v>
      </c>
      <c r="B359" s="139" t="s">
        <v>89</v>
      </c>
      <c r="C359" s="134" t="s">
        <v>63</v>
      </c>
      <c r="D359" s="134" t="s">
        <v>893</v>
      </c>
      <c r="E359" s="134" t="s">
        <v>214</v>
      </c>
      <c r="F359" s="134" t="s">
        <v>215</v>
      </c>
      <c r="G359" s="134" t="s">
        <v>900</v>
      </c>
      <c r="H359" s="136">
        <v>21988</v>
      </c>
    </row>
    <row r="360" spans="1:8" ht="34.5" thickBot="1" x14ac:dyDescent="0.3">
      <c r="A360" s="139" t="s">
        <v>90</v>
      </c>
      <c r="B360" s="139" t="s">
        <v>89</v>
      </c>
      <c r="C360" s="134" t="s">
        <v>63</v>
      </c>
      <c r="D360" s="134" t="s">
        <v>893</v>
      </c>
      <c r="E360" s="134" t="s">
        <v>214</v>
      </c>
      <c r="F360" s="134" t="s">
        <v>215</v>
      </c>
      <c r="G360" s="134" t="s">
        <v>901</v>
      </c>
      <c r="H360" s="135">
        <v>21988</v>
      </c>
    </row>
    <row r="361" spans="1:8" ht="34.5" thickBot="1" x14ac:dyDescent="0.3">
      <c r="A361" s="139" t="s">
        <v>90</v>
      </c>
      <c r="B361" s="139" t="s">
        <v>89</v>
      </c>
      <c r="C361" s="134" t="s">
        <v>63</v>
      </c>
      <c r="D361" s="134" t="s">
        <v>893</v>
      </c>
      <c r="E361" s="134" t="s">
        <v>214</v>
      </c>
      <c r="F361" s="134" t="s">
        <v>215</v>
      </c>
      <c r="G361" s="134" t="s">
        <v>902</v>
      </c>
      <c r="H361" s="136">
        <v>21988</v>
      </c>
    </row>
    <row r="362" spans="1:8" ht="34.5" thickBot="1" x14ac:dyDescent="0.3">
      <c r="A362" s="139" t="s">
        <v>90</v>
      </c>
      <c r="B362" s="139" t="s">
        <v>89</v>
      </c>
      <c r="C362" s="134" t="s">
        <v>63</v>
      </c>
      <c r="D362" s="134" t="s">
        <v>893</v>
      </c>
      <c r="E362" s="134" t="s">
        <v>214</v>
      </c>
      <c r="F362" s="134" t="s">
        <v>215</v>
      </c>
      <c r="G362" s="134" t="s">
        <v>903</v>
      </c>
      <c r="H362" s="135">
        <v>21988</v>
      </c>
    </row>
    <row r="363" spans="1:8" ht="34.5" thickBot="1" x14ac:dyDescent="0.3">
      <c r="A363" s="139" t="s">
        <v>90</v>
      </c>
      <c r="B363" s="139" t="s">
        <v>89</v>
      </c>
      <c r="C363" s="134" t="s">
        <v>63</v>
      </c>
      <c r="D363" s="134" t="s">
        <v>893</v>
      </c>
      <c r="E363" s="134" t="s">
        <v>214</v>
      </c>
      <c r="F363" s="134" t="s">
        <v>215</v>
      </c>
      <c r="G363" s="134" t="s">
        <v>904</v>
      </c>
      <c r="H363" s="136">
        <v>21988</v>
      </c>
    </row>
    <row r="364" spans="1:8" ht="34.5" thickBot="1" x14ac:dyDescent="0.3">
      <c r="A364" s="139" t="s">
        <v>90</v>
      </c>
      <c r="B364" s="139" t="s">
        <v>89</v>
      </c>
      <c r="C364" s="134" t="s">
        <v>63</v>
      </c>
      <c r="D364" s="134" t="s">
        <v>893</v>
      </c>
      <c r="E364" s="134" t="s">
        <v>214</v>
      </c>
      <c r="F364" s="134" t="s">
        <v>215</v>
      </c>
      <c r="G364" s="143" t="s">
        <v>64</v>
      </c>
      <c r="H364" s="137">
        <v>241868</v>
      </c>
    </row>
    <row r="365" spans="1:8" ht="34.5" thickBot="1" x14ac:dyDescent="0.3">
      <c r="A365" s="139" t="s">
        <v>90</v>
      </c>
      <c r="B365" s="139" t="s">
        <v>89</v>
      </c>
      <c r="C365" s="134" t="s">
        <v>63</v>
      </c>
      <c r="D365" s="134" t="s">
        <v>893</v>
      </c>
      <c r="E365" s="134" t="s">
        <v>230</v>
      </c>
      <c r="F365" s="134" t="s">
        <v>231</v>
      </c>
      <c r="G365" s="134" t="s">
        <v>905</v>
      </c>
      <c r="H365" s="136">
        <v>27033.75</v>
      </c>
    </row>
    <row r="366" spans="1:8" ht="34.5" thickBot="1" x14ac:dyDescent="0.3">
      <c r="A366" s="139" t="s">
        <v>90</v>
      </c>
      <c r="B366" s="139" t="s">
        <v>89</v>
      </c>
      <c r="C366" s="134" t="s">
        <v>63</v>
      </c>
      <c r="D366" s="134" t="s">
        <v>893</v>
      </c>
      <c r="E366" s="134" t="s">
        <v>230</v>
      </c>
      <c r="F366" s="134" t="s">
        <v>231</v>
      </c>
      <c r="G366" s="143" t="s">
        <v>64</v>
      </c>
      <c r="H366" s="137">
        <v>27033.75</v>
      </c>
    </row>
    <row r="367" spans="1:8" ht="34.5" thickBot="1" x14ac:dyDescent="0.3">
      <c r="A367" s="139" t="s">
        <v>90</v>
      </c>
      <c r="B367" s="139" t="s">
        <v>89</v>
      </c>
      <c r="C367" s="134" t="s">
        <v>63</v>
      </c>
      <c r="D367" s="134" t="s">
        <v>893</v>
      </c>
      <c r="E367" s="352" t="s">
        <v>64</v>
      </c>
      <c r="F367" s="354"/>
      <c r="G367" s="353"/>
      <c r="H367" s="137">
        <v>268901.75</v>
      </c>
    </row>
    <row r="368" spans="1:8" ht="15.75" thickBot="1" x14ac:dyDescent="0.3">
      <c r="A368" s="139" t="s">
        <v>90</v>
      </c>
      <c r="B368" s="139" t="s">
        <v>89</v>
      </c>
      <c r="C368" s="352" t="s">
        <v>64</v>
      </c>
      <c r="D368" s="354"/>
      <c r="E368" s="354"/>
      <c r="F368" s="354"/>
      <c r="G368" s="353"/>
      <c r="H368" s="137">
        <v>276242.34000000003</v>
      </c>
    </row>
    <row r="369" spans="1:8" ht="57" thickBot="1" x14ac:dyDescent="0.3">
      <c r="A369" s="132" t="s">
        <v>54</v>
      </c>
      <c r="B369" s="133" t="s">
        <v>55</v>
      </c>
      <c r="C369" s="134" t="s">
        <v>61</v>
      </c>
      <c r="D369" s="134" t="s">
        <v>881</v>
      </c>
      <c r="E369" s="134" t="s">
        <v>889</v>
      </c>
      <c r="F369" s="134" t="s">
        <v>890</v>
      </c>
      <c r="G369" s="134" t="s">
        <v>891</v>
      </c>
      <c r="H369" s="136">
        <v>4283.18</v>
      </c>
    </row>
    <row r="370" spans="1:8" ht="57" thickBot="1" x14ac:dyDescent="0.3">
      <c r="A370" s="132" t="s">
        <v>54</v>
      </c>
      <c r="B370" s="133" t="s">
        <v>55</v>
      </c>
      <c r="C370" s="134" t="s">
        <v>61</v>
      </c>
      <c r="D370" s="134" t="s">
        <v>881</v>
      </c>
      <c r="E370" s="134" t="s">
        <v>889</v>
      </c>
      <c r="F370" s="134" t="s">
        <v>890</v>
      </c>
      <c r="G370" s="134" t="s">
        <v>892</v>
      </c>
      <c r="H370" s="135">
        <v>3057.41</v>
      </c>
    </row>
    <row r="371" spans="1:8" ht="15.75" thickBot="1" x14ac:dyDescent="0.3">
      <c r="A371" s="132" t="s">
        <v>54</v>
      </c>
      <c r="B371" s="133" t="s">
        <v>55</v>
      </c>
      <c r="C371" s="352" t="s">
        <v>64</v>
      </c>
      <c r="D371" s="354"/>
      <c r="E371" s="354"/>
      <c r="F371" s="354"/>
      <c r="G371" s="353"/>
      <c r="H371" s="137">
        <v>7340.59</v>
      </c>
    </row>
    <row r="372" spans="1:8" ht="34.5" thickBot="1" x14ac:dyDescent="0.3">
      <c r="A372" s="132" t="s">
        <v>72</v>
      </c>
      <c r="B372" s="133" t="s">
        <v>73</v>
      </c>
      <c r="C372" s="134" t="s">
        <v>63</v>
      </c>
      <c r="D372" s="134" t="s">
        <v>893</v>
      </c>
      <c r="E372" s="134" t="s">
        <v>214</v>
      </c>
      <c r="F372" s="134" t="s">
        <v>215</v>
      </c>
      <c r="G372" s="134" t="s">
        <v>894</v>
      </c>
      <c r="H372" s="135">
        <v>21988</v>
      </c>
    </row>
    <row r="373" spans="1:8" ht="34.5" thickBot="1" x14ac:dyDescent="0.3">
      <c r="A373" s="132" t="s">
        <v>72</v>
      </c>
      <c r="B373" s="133" t="s">
        <v>73</v>
      </c>
      <c r="C373" s="134" t="s">
        <v>63</v>
      </c>
      <c r="D373" s="134" t="s">
        <v>893</v>
      </c>
      <c r="E373" s="134" t="s">
        <v>214</v>
      </c>
      <c r="F373" s="134" t="s">
        <v>215</v>
      </c>
      <c r="G373" s="134" t="s">
        <v>895</v>
      </c>
      <c r="H373" s="136">
        <v>21988</v>
      </c>
    </row>
    <row r="374" spans="1:8" ht="34.5" thickBot="1" x14ac:dyDescent="0.3">
      <c r="A374" s="132" t="s">
        <v>72</v>
      </c>
      <c r="B374" s="133" t="s">
        <v>73</v>
      </c>
      <c r="C374" s="134" t="s">
        <v>63</v>
      </c>
      <c r="D374" s="134" t="s">
        <v>893</v>
      </c>
      <c r="E374" s="134" t="s">
        <v>214</v>
      </c>
      <c r="F374" s="134" t="s">
        <v>215</v>
      </c>
      <c r="G374" s="134" t="s">
        <v>896</v>
      </c>
      <c r="H374" s="135">
        <v>21988</v>
      </c>
    </row>
    <row r="375" spans="1:8" ht="34.5" thickBot="1" x14ac:dyDescent="0.3">
      <c r="A375" s="132" t="s">
        <v>72</v>
      </c>
      <c r="B375" s="133" t="s">
        <v>73</v>
      </c>
      <c r="C375" s="134" t="s">
        <v>63</v>
      </c>
      <c r="D375" s="134" t="s">
        <v>893</v>
      </c>
      <c r="E375" s="134" t="s">
        <v>214</v>
      </c>
      <c r="F375" s="134" t="s">
        <v>215</v>
      </c>
      <c r="G375" s="134" t="s">
        <v>897</v>
      </c>
      <c r="H375" s="136">
        <v>21988</v>
      </c>
    </row>
    <row r="376" spans="1:8" ht="34.5" thickBot="1" x14ac:dyDescent="0.3">
      <c r="A376" s="132" t="s">
        <v>72</v>
      </c>
      <c r="B376" s="133" t="s">
        <v>73</v>
      </c>
      <c r="C376" s="134" t="s">
        <v>63</v>
      </c>
      <c r="D376" s="134" t="s">
        <v>893</v>
      </c>
      <c r="E376" s="134" t="s">
        <v>214</v>
      </c>
      <c r="F376" s="134" t="s">
        <v>215</v>
      </c>
      <c r="G376" s="134" t="s">
        <v>898</v>
      </c>
      <c r="H376" s="135">
        <v>21988</v>
      </c>
    </row>
    <row r="377" spans="1:8" ht="34.5" thickBot="1" x14ac:dyDescent="0.3">
      <c r="A377" s="132" t="s">
        <v>72</v>
      </c>
      <c r="B377" s="133" t="s">
        <v>73</v>
      </c>
      <c r="C377" s="134" t="s">
        <v>63</v>
      </c>
      <c r="D377" s="134" t="s">
        <v>893</v>
      </c>
      <c r="E377" s="134" t="s">
        <v>214</v>
      </c>
      <c r="F377" s="134" t="s">
        <v>215</v>
      </c>
      <c r="G377" s="134" t="s">
        <v>899</v>
      </c>
      <c r="H377" s="136">
        <v>21988</v>
      </c>
    </row>
    <row r="378" spans="1:8" ht="34.5" thickBot="1" x14ac:dyDescent="0.3">
      <c r="A378" s="132" t="s">
        <v>72</v>
      </c>
      <c r="B378" s="133" t="s">
        <v>73</v>
      </c>
      <c r="C378" s="134" t="s">
        <v>63</v>
      </c>
      <c r="D378" s="134" t="s">
        <v>893</v>
      </c>
      <c r="E378" s="134" t="s">
        <v>214</v>
      </c>
      <c r="F378" s="134" t="s">
        <v>215</v>
      </c>
      <c r="G378" s="134" t="s">
        <v>900</v>
      </c>
      <c r="H378" s="135">
        <v>21988</v>
      </c>
    </row>
    <row r="379" spans="1:8" ht="34.5" thickBot="1" x14ac:dyDescent="0.3">
      <c r="A379" s="132" t="s">
        <v>72</v>
      </c>
      <c r="B379" s="133" t="s">
        <v>73</v>
      </c>
      <c r="C379" s="134" t="s">
        <v>63</v>
      </c>
      <c r="D379" s="134" t="s">
        <v>893</v>
      </c>
      <c r="E379" s="134" t="s">
        <v>214</v>
      </c>
      <c r="F379" s="134" t="s">
        <v>215</v>
      </c>
      <c r="G379" s="134" t="s">
        <v>901</v>
      </c>
      <c r="H379" s="136">
        <v>21988</v>
      </c>
    </row>
    <row r="380" spans="1:8" ht="34.5" thickBot="1" x14ac:dyDescent="0.3">
      <c r="A380" s="132" t="s">
        <v>72</v>
      </c>
      <c r="B380" s="133" t="s">
        <v>73</v>
      </c>
      <c r="C380" s="134" t="s">
        <v>63</v>
      </c>
      <c r="D380" s="134" t="s">
        <v>893</v>
      </c>
      <c r="E380" s="134" t="s">
        <v>214</v>
      </c>
      <c r="F380" s="134" t="s">
        <v>215</v>
      </c>
      <c r="G380" s="134" t="s">
        <v>902</v>
      </c>
      <c r="H380" s="135">
        <v>21988</v>
      </c>
    </row>
    <row r="381" spans="1:8" ht="34.5" thickBot="1" x14ac:dyDescent="0.3">
      <c r="A381" s="132" t="s">
        <v>72</v>
      </c>
      <c r="B381" s="133" t="s">
        <v>73</v>
      </c>
      <c r="C381" s="134" t="s">
        <v>63</v>
      </c>
      <c r="D381" s="134" t="s">
        <v>893</v>
      </c>
      <c r="E381" s="134" t="s">
        <v>214</v>
      </c>
      <c r="F381" s="134" t="s">
        <v>215</v>
      </c>
      <c r="G381" s="134" t="s">
        <v>903</v>
      </c>
      <c r="H381" s="136">
        <v>21988</v>
      </c>
    </row>
    <row r="382" spans="1:8" ht="34.5" thickBot="1" x14ac:dyDescent="0.3">
      <c r="A382" s="132" t="s">
        <v>72</v>
      </c>
      <c r="B382" s="133" t="s">
        <v>73</v>
      </c>
      <c r="C382" s="134" t="s">
        <v>63</v>
      </c>
      <c r="D382" s="134" t="s">
        <v>893</v>
      </c>
      <c r="E382" s="134" t="s">
        <v>214</v>
      </c>
      <c r="F382" s="134" t="s">
        <v>215</v>
      </c>
      <c r="G382" s="134" t="s">
        <v>904</v>
      </c>
      <c r="H382" s="135">
        <v>21988</v>
      </c>
    </row>
    <row r="383" spans="1:8" ht="15.75" thickBot="1" x14ac:dyDescent="0.3">
      <c r="A383" s="132" t="s">
        <v>72</v>
      </c>
      <c r="B383" s="133" t="s">
        <v>73</v>
      </c>
      <c r="C383" s="352" t="s">
        <v>64</v>
      </c>
      <c r="D383" s="354"/>
      <c r="E383" s="354"/>
      <c r="F383" s="354"/>
      <c r="G383" s="353"/>
      <c r="H383" s="137">
        <v>241868</v>
      </c>
    </row>
    <row r="384" spans="1:8" ht="34.5" thickBot="1" x14ac:dyDescent="0.3">
      <c r="A384" s="132" t="s">
        <v>76</v>
      </c>
      <c r="B384" s="133" t="s">
        <v>77</v>
      </c>
      <c r="C384" s="134" t="s">
        <v>63</v>
      </c>
      <c r="D384" s="134" t="s">
        <v>893</v>
      </c>
      <c r="E384" s="134" t="s">
        <v>230</v>
      </c>
      <c r="F384" s="134" t="s">
        <v>231</v>
      </c>
      <c r="G384" s="134" t="s">
        <v>905</v>
      </c>
      <c r="H384" s="135">
        <v>27033.75</v>
      </c>
    </row>
    <row r="385" spans="1:8" ht="15.75" thickBot="1" x14ac:dyDescent="0.3">
      <c r="A385" s="132" t="s">
        <v>76</v>
      </c>
      <c r="B385" s="133" t="s">
        <v>77</v>
      </c>
      <c r="C385" s="352" t="s">
        <v>64</v>
      </c>
      <c r="D385" s="354"/>
      <c r="E385" s="354"/>
      <c r="F385" s="354"/>
      <c r="G385" s="353"/>
      <c r="H385" s="137">
        <v>27033.75</v>
      </c>
    </row>
    <row r="387" spans="1:8" ht="15.75" thickBot="1" x14ac:dyDescent="0.3">
      <c r="A387" s="80" t="s">
        <v>459</v>
      </c>
    </row>
    <row r="388" spans="1:8" ht="15.75" thickBot="1" x14ac:dyDescent="0.3">
      <c r="A388" s="347"/>
      <c r="B388" s="348"/>
      <c r="C388" s="348"/>
      <c r="D388" s="348"/>
      <c r="E388" s="349"/>
      <c r="F388" s="140"/>
      <c r="G388" s="134" t="s">
        <v>95</v>
      </c>
    </row>
    <row r="389" spans="1:8" ht="15.75" thickBot="1" x14ac:dyDescent="0.3">
      <c r="A389" s="350" t="s">
        <v>94</v>
      </c>
      <c r="B389" s="351"/>
      <c r="C389" s="350" t="s">
        <v>92</v>
      </c>
      <c r="D389" s="351"/>
      <c r="E389" s="134" t="s">
        <v>209</v>
      </c>
      <c r="F389" s="141"/>
      <c r="G389" s="140" t="s">
        <v>91</v>
      </c>
    </row>
    <row r="390" spans="1:8" ht="34.5" thickBot="1" x14ac:dyDescent="0.3">
      <c r="A390" s="139" t="s">
        <v>90</v>
      </c>
      <c r="B390" s="139" t="s">
        <v>89</v>
      </c>
      <c r="C390" s="134" t="s">
        <v>458</v>
      </c>
      <c r="D390" s="134" t="s">
        <v>459</v>
      </c>
      <c r="E390" s="134" t="s">
        <v>469</v>
      </c>
      <c r="F390" s="134" t="s">
        <v>468</v>
      </c>
      <c r="G390" s="136">
        <v>11861091</v>
      </c>
    </row>
    <row r="391" spans="1:8" ht="34.5" thickBot="1" x14ac:dyDescent="0.3">
      <c r="A391" s="139" t="s">
        <v>90</v>
      </c>
      <c r="B391" s="139" t="s">
        <v>89</v>
      </c>
      <c r="C391" s="134" t="s">
        <v>458</v>
      </c>
      <c r="D391" s="134" t="s">
        <v>459</v>
      </c>
      <c r="E391" s="134" t="s">
        <v>906</v>
      </c>
      <c r="F391" s="134" t="s">
        <v>907</v>
      </c>
      <c r="G391" s="135">
        <v>2883190.89</v>
      </c>
    </row>
    <row r="392" spans="1:8" ht="15.75" thickBot="1" x14ac:dyDescent="0.3">
      <c r="A392" s="139" t="s">
        <v>90</v>
      </c>
      <c r="B392" s="139" t="s">
        <v>89</v>
      </c>
      <c r="C392" s="134" t="s">
        <v>458</v>
      </c>
      <c r="D392" s="134" t="s">
        <v>459</v>
      </c>
      <c r="E392" s="134" t="s">
        <v>908</v>
      </c>
      <c r="F392" s="134" t="s">
        <v>909</v>
      </c>
      <c r="G392" s="136">
        <v>48616.9</v>
      </c>
    </row>
    <row r="393" spans="1:8" ht="34.5" thickBot="1" x14ac:dyDescent="0.3">
      <c r="A393" s="139" t="s">
        <v>90</v>
      </c>
      <c r="B393" s="139" t="s">
        <v>89</v>
      </c>
      <c r="C393" s="134" t="s">
        <v>458</v>
      </c>
      <c r="D393" s="134" t="s">
        <v>459</v>
      </c>
      <c r="E393" s="134" t="s">
        <v>473</v>
      </c>
      <c r="F393" s="134" t="s">
        <v>472</v>
      </c>
      <c r="G393" s="135">
        <v>20560.18</v>
      </c>
    </row>
    <row r="394" spans="1:8" ht="45.75" thickBot="1" x14ac:dyDescent="0.3">
      <c r="A394" s="139" t="s">
        <v>90</v>
      </c>
      <c r="B394" s="139" t="s">
        <v>89</v>
      </c>
      <c r="C394" s="134" t="s">
        <v>458</v>
      </c>
      <c r="D394" s="134" t="s">
        <v>459</v>
      </c>
      <c r="E394" s="134" t="s">
        <v>467</v>
      </c>
      <c r="F394" s="134" t="s">
        <v>466</v>
      </c>
      <c r="G394" s="136">
        <v>268408.53000000003</v>
      </c>
    </row>
    <row r="395" spans="1:8" ht="15.75" thickBot="1" x14ac:dyDescent="0.3">
      <c r="A395" s="139" t="s">
        <v>90</v>
      </c>
      <c r="B395" s="139" t="s">
        <v>89</v>
      </c>
      <c r="C395" s="134" t="s">
        <v>458</v>
      </c>
      <c r="D395" s="134" t="s">
        <v>459</v>
      </c>
      <c r="E395" s="134" t="s">
        <v>465</v>
      </c>
      <c r="F395" s="134" t="s">
        <v>464</v>
      </c>
      <c r="G395" s="135">
        <v>579600.89</v>
      </c>
    </row>
    <row r="396" spans="1:8" ht="45.75" thickBot="1" x14ac:dyDescent="0.3">
      <c r="A396" s="139" t="s">
        <v>90</v>
      </c>
      <c r="B396" s="139" t="s">
        <v>89</v>
      </c>
      <c r="C396" s="134" t="s">
        <v>458</v>
      </c>
      <c r="D396" s="134" t="s">
        <v>459</v>
      </c>
      <c r="E396" s="134" t="s">
        <v>463</v>
      </c>
      <c r="F396" s="134" t="s">
        <v>462</v>
      </c>
      <c r="G396" s="136">
        <v>3026322.74</v>
      </c>
    </row>
    <row r="397" spans="1:8" ht="34.5" thickBot="1" x14ac:dyDescent="0.3">
      <c r="A397" s="139" t="s">
        <v>90</v>
      </c>
      <c r="B397" s="139" t="s">
        <v>89</v>
      </c>
      <c r="C397" s="134" t="s">
        <v>458</v>
      </c>
      <c r="D397" s="134" t="s">
        <v>459</v>
      </c>
      <c r="E397" s="134" t="s">
        <v>461</v>
      </c>
      <c r="F397" s="134" t="s">
        <v>460</v>
      </c>
      <c r="G397" s="135">
        <v>15102</v>
      </c>
    </row>
    <row r="398" spans="1:8" ht="34.5" thickBot="1" x14ac:dyDescent="0.3">
      <c r="A398" s="139" t="s">
        <v>90</v>
      </c>
      <c r="B398" s="139" t="s">
        <v>89</v>
      </c>
      <c r="C398" s="134" t="s">
        <v>458</v>
      </c>
      <c r="D398" s="134" t="s">
        <v>459</v>
      </c>
      <c r="E398" s="134" t="s">
        <v>471</v>
      </c>
      <c r="F398" s="134" t="s">
        <v>470</v>
      </c>
      <c r="G398" s="136">
        <v>249386.94</v>
      </c>
    </row>
    <row r="399" spans="1:8" ht="15.75" thickBot="1" x14ac:dyDescent="0.3">
      <c r="A399" s="139" t="s">
        <v>90</v>
      </c>
      <c r="B399" s="139" t="s">
        <v>89</v>
      </c>
      <c r="C399" s="134" t="s">
        <v>458</v>
      </c>
      <c r="D399" s="134" t="s">
        <v>459</v>
      </c>
      <c r="E399" s="352" t="s">
        <v>64</v>
      </c>
      <c r="F399" s="353"/>
      <c r="G399" s="137">
        <v>18952280.07</v>
      </c>
    </row>
    <row r="400" spans="1:8" ht="15.75" thickBot="1" x14ac:dyDescent="0.3">
      <c r="A400" s="139" t="s">
        <v>90</v>
      </c>
      <c r="B400" s="139" t="s">
        <v>89</v>
      </c>
      <c r="C400" s="352" t="s">
        <v>64</v>
      </c>
      <c r="D400" s="354"/>
      <c r="E400" s="354"/>
      <c r="F400" s="353"/>
      <c r="G400" s="137">
        <v>18952280.07</v>
      </c>
    </row>
    <row r="401" spans="1:7" ht="34.5" thickBot="1" x14ac:dyDescent="0.3">
      <c r="A401" s="132" t="s">
        <v>54</v>
      </c>
      <c r="B401" s="133" t="s">
        <v>55</v>
      </c>
      <c r="C401" s="134" t="s">
        <v>458</v>
      </c>
      <c r="D401" s="134" t="s">
        <v>459</v>
      </c>
      <c r="E401" s="134" t="s">
        <v>473</v>
      </c>
      <c r="F401" s="134" t="s">
        <v>472</v>
      </c>
      <c r="G401" s="135">
        <v>1127.55</v>
      </c>
    </row>
    <row r="402" spans="1:7" ht="15.75" thickBot="1" x14ac:dyDescent="0.3">
      <c r="A402" s="132" t="s">
        <v>54</v>
      </c>
      <c r="B402" s="133" t="s">
        <v>55</v>
      </c>
      <c r="C402" s="134" t="s">
        <v>458</v>
      </c>
      <c r="D402" s="134" t="s">
        <v>459</v>
      </c>
      <c r="E402" s="352" t="s">
        <v>64</v>
      </c>
      <c r="F402" s="353"/>
      <c r="G402" s="137">
        <v>1127.55</v>
      </c>
    </row>
    <row r="403" spans="1:7" ht="15.75" thickBot="1" x14ac:dyDescent="0.3">
      <c r="A403" s="132" t="s">
        <v>54</v>
      </c>
      <c r="B403" s="133" t="s">
        <v>55</v>
      </c>
      <c r="C403" s="352" t="s">
        <v>64</v>
      </c>
      <c r="D403" s="354"/>
      <c r="E403" s="354"/>
      <c r="F403" s="353"/>
      <c r="G403" s="137">
        <v>1127.55</v>
      </c>
    </row>
    <row r="404" spans="1:7" ht="34.5" thickBot="1" x14ac:dyDescent="0.3">
      <c r="A404" s="132" t="s">
        <v>88</v>
      </c>
      <c r="B404" s="133" t="s">
        <v>87</v>
      </c>
      <c r="C404" s="134" t="s">
        <v>458</v>
      </c>
      <c r="D404" s="134" t="s">
        <v>459</v>
      </c>
      <c r="E404" s="134" t="s">
        <v>906</v>
      </c>
      <c r="F404" s="134" t="s">
        <v>907</v>
      </c>
      <c r="G404" s="136">
        <v>2883190.89</v>
      </c>
    </row>
    <row r="405" spans="1:7" ht="15.75" thickBot="1" x14ac:dyDescent="0.3">
      <c r="A405" s="132" t="s">
        <v>88</v>
      </c>
      <c r="B405" s="133" t="s">
        <v>87</v>
      </c>
      <c r="C405" s="134" t="s">
        <v>458</v>
      </c>
      <c r="D405" s="134" t="s">
        <v>459</v>
      </c>
      <c r="E405" s="352" t="s">
        <v>64</v>
      </c>
      <c r="F405" s="353"/>
      <c r="G405" s="137">
        <v>2883190.89</v>
      </c>
    </row>
    <row r="406" spans="1:7" ht="15.75" thickBot="1" x14ac:dyDescent="0.3">
      <c r="A406" s="132" t="s">
        <v>88</v>
      </c>
      <c r="B406" s="133" t="s">
        <v>87</v>
      </c>
      <c r="C406" s="352" t="s">
        <v>64</v>
      </c>
      <c r="D406" s="354"/>
      <c r="E406" s="354"/>
      <c r="F406" s="353"/>
      <c r="G406" s="137">
        <v>2883190.89</v>
      </c>
    </row>
    <row r="407" spans="1:7" ht="34.5" thickBot="1" x14ac:dyDescent="0.3">
      <c r="A407" s="132" t="s">
        <v>66</v>
      </c>
      <c r="B407" s="133" t="s">
        <v>67</v>
      </c>
      <c r="C407" s="134" t="s">
        <v>458</v>
      </c>
      <c r="D407" s="134" t="s">
        <v>459</v>
      </c>
      <c r="E407" s="134" t="s">
        <v>469</v>
      </c>
      <c r="F407" s="134" t="s">
        <v>468</v>
      </c>
      <c r="G407" s="135">
        <v>10916505</v>
      </c>
    </row>
    <row r="408" spans="1:7" ht="15.75" thickBot="1" x14ac:dyDescent="0.3">
      <c r="A408" s="132" t="s">
        <v>66</v>
      </c>
      <c r="B408" s="133" t="s">
        <v>67</v>
      </c>
      <c r="C408" s="134" t="s">
        <v>458</v>
      </c>
      <c r="D408" s="134" t="s">
        <v>459</v>
      </c>
      <c r="E408" s="352" t="s">
        <v>64</v>
      </c>
      <c r="F408" s="353"/>
      <c r="G408" s="137">
        <v>10916505</v>
      </c>
    </row>
    <row r="409" spans="1:7" ht="15.75" thickBot="1" x14ac:dyDescent="0.3">
      <c r="A409" s="132" t="s">
        <v>66</v>
      </c>
      <c r="B409" s="133" t="s">
        <v>67</v>
      </c>
      <c r="C409" s="352" t="s">
        <v>64</v>
      </c>
      <c r="D409" s="354"/>
      <c r="E409" s="354"/>
      <c r="F409" s="353"/>
      <c r="G409" s="137">
        <v>10916505</v>
      </c>
    </row>
    <row r="410" spans="1:7" ht="15.75" thickBot="1" x14ac:dyDescent="0.3">
      <c r="A410" s="132" t="s">
        <v>76</v>
      </c>
      <c r="B410" s="133" t="s">
        <v>77</v>
      </c>
      <c r="C410" s="134" t="s">
        <v>458</v>
      </c>
      <c r="D410" s="134" t="s">
        <v>459</v>
      </c>
      <c r="E410" s="134" t="s">
        <v>908</v>
      </c>
      <c r="F410" s="134" t="s">
        <v>909</v>
      </c>
      <c r="G410" s="136">
        <v>48616.9</v>
      </c>
    </row>
    <row r="411" spans="1:7" ht="34.5" thickBot="1" x14ac:dyDescent="0.3">
      <c r="A411" s="132" t="s">
        <v>76</v>
      </c>
      <c r="B411" s="133" t="s">
        <v>77</v>
      </c>
      <c r="C411" s="134" t="s">
        <v>458</v>
      </c>
      <c r="D411" s="134" t="s">
        <v>459</v>
      </c>
      <c r="E411" s="134" t="s">
        <v>473</v>
      </c>
      <c r="F411" s="134" t="s">
        <v>472</v>
      </c>
      <c r="G411" s="135">
        <v>19432.63</v>
      </c>
    </row>
    <row r="412" spans="1:7" ht="34.5" thickBot="1" x14ac:dyDescent="0.3">
      <c r="A412" s="132" t="s">
        <v>76</v>
      </c>
      <c r="B412" s="133" t="s">
        <v>77</v>
      </c>
      <c r="C412" s="134" t="s">
        <v>458</v>
      </c>
      <c r="D412" s="134" t="s">
        <v>459</v>
      </c>
      <c r="E412" s="134" t="s">
        <v>471</v>
      </c>
      <c r="F412" s="134" t="s">
        <v>470</v>
      </c>
      <c r="G412" s="136">
        <v>249386.94</v>
      </c>
    </row>
    <row r="413" spans="1:7" ht="15.75" thickBot="1" x14ac:dyDescent="0.3">
      <c r="A413" s="132" t="s">
        <v>76</v>
      </c>
      <c r="B413" s="133" t="s">
        <v>77</v>
      </c>
      <c r="C413" s="134" t="s">
        <v>458</v>
      </c>
      <c r="D413" s="134" t="s">
        <v>459</v>
      </c>
      <c r="E413" s="352" t="s">
        <v>64</v>
      </c>
      <c r="F413" s="353"/>
      <c r="G413" s="137">
        <v>317436.46999999997</v>
      </c>
    </row>
    <row r="414" spans="1:7" ht="15.75" thickBot="1" x14ac:dyDescent="0.3">
      <c r="A414" s="132" t="s">
        <v>76</v>
      </c>
      <c r="B414" s="133" t="s">
        <v>77</v>
      </c>
      <c r="C414" s="352" t="s">
        <v>64</v>
      </c>
      <c r="D414" s="354"/>
      <c r="E414" s="354"/>
      <c r="F414" s="353"/>
      <c r="G414" s="137">
        <v>317436.46999999997</v>
      </c>
    </row>
    <row r="415" spans="1:7" ht="34.5" thickBot="1" x14ac:dyDescent="0.3">
      <c r="A415" s="132" t="s">
        <v>80</v>
      </c>
      <c r="B415" s="133" t="s">
        <v>24</v>
      </c>
      <c r="C415" s="134" t="s">
        <v>458</v>
      </c>
      <c r="D415" s="134" t="s">
        <v>459</v>
      </c>
      <c r="E415" s="134" t="s">
        <v>469</v>
      </c>
      <c r="F415" s="134" t="s">
        <v>468</v>
      </c>
      <c r="G415" s="135">
        <v>944586</v>
      </c>
    </row>
    <row r="416" spans="1:7" ht="45.75" thickBot="1" x14ac:dyDescent="0.3">
      <c r="A416" s="132" t="s">
        <v>80</v>
      </c>
      <c r="B416" s="133" t="s">
        <v>24</v>
      </c>
      <c r="C416" s="134" t="s">
        <v>458</v>
      </c>
      <c r="D416" s="134" t="s">
        <v>459</v>
      </c>
      <c r="E416" s="134" t="s">
        <v>467</v>
      </c>
      <c r="F416" s="134" t="s">
        <v>466</v>
      </c>
      <c r="G416" s="136">
        <v>268408.53000000003</v>
      </c>
    </row>
    <row r="417" spans="1:9" ht="15.75" thickBot="1" x14ac:dyDescent="0.3">
      <c r="A417" s="132" t="s">
        <v>80</v>
      </c>
      <c r="B417" s="133" t="s">
        <v>24</v>
      </c>
      <c r="C417" s="134" t="s">
        <v>458</v>
      </c>
      <c r="D417" s="134" t="s">
        <v>459</v>
      </c>
      <c r="E417" s="134" t="s">
        <v>465</v>
      </c>
      <c r="F417" s="134" t="s">
        <v>464</v>
      </c>
      <c r="G417" s="135">
        <v>579600.89</v>
      </c>
    </row>
    <row r="418" spans="1:9" ht="45.75" thickBot="1" x14ac:dyDescent="0.3">
      <c r="A418" s="132" t="s">
        <v>80</v>
      </c>
      <c r="B418" s="133" t="s">
        <v>24</v>
      </c>
      <c r="C418" s="134" t="s">
        <v>458</v>
      </c>
      <c r="D418" s="134" t="s">
        <v>459</v>
      </c>
      <c r="E418" s="134" t="s">
        <v>463</v>
      </c>
      <c r="F418" s="134" t="s">
        <v>462</v>
      </c>
      <c r="G418" s="136">
        <v>3026322.74</v>
      </c>
    </row>
    <row r="419" spans="1:9" ht="34.5" thickBot="1" x14ac:dyDescent="0.3">
      <c r="A419" s="132" t="s">
        <v>80</v>
      </c>
      <c r="B419" s="133" t="s">
        <v>24</v>
      </c>
      <c r="C419" s="134" t="s">
        <v>458</v>
      </c>
      <c r="D419" s="134" t="s">
        <v>459</v>
      </c>
      <c r="E419" s="134" t="s">
        <v>461</v>
      </c>
      <c r="F419" s="134" t="s">
        <v>460</v>
      </c>
      <c r="G419" s="135">
        <v>15102</v>
      </c>
    </row>
    <row r="420" spans="1:9" s="309" customFormat="1" ht="68.25" thickBot="1" x14ac:dyDescent="0.3">
      <c r="A420" s="132" t="s">
        <v>1012</v>
      </c>
      <c r="B420" s="133" t="s">
        <v>24</v>
      </c>
      <c r="C420" s="306" t="s">
        <v>458</v>
      </c>
      <c r="D420" s="306" t="s">
        <v>459</v>
      </c>
      <c r="E420" s="306" t="s">
        <v>231</v>
      </c>
      <c r="F420" s="306" t="s">
        <v>1011</v>
      </c>
      <c r="G420" s="307">
        <v>77936</v>
      </c>
    </row>
    <row r="421" spans="1:9" ht="15.75" thickBot="1" x14ac:dyDescent="0.3">
      <c r="A421" s="132" t="s">
        <v>80</v>
      </c>
      <c r="B421" s="133" t="s">
        <v>24</v>
      </c>
      <c r="C421" s="134" t="s">
        <v>458</v>
      </c>
      <c r="D421" s="134" t="s">
        <v>459</v>
      </c>
      <c r="E421" s="352" t="s">
        <v>64</v>
      </c>
      <c r="F421" s="353"/>
      <c r="G421" s="137">
        <f>SUM(G415:G420)</f>
        <v>4911956.16</v>
      </c>
    </row>
    <row r="422" spans="1:9" ht="15.75" thickBot="1" x14ac:dyDescent="0.3">
      <c r="A422" s="132" t="s">
        <v>80</v>
      </c>
      <c r="B422" s="133" t="s">
        <v>24</v>
      </c>
      <c r="C422" s="352" t="s">
        <v>64</v>
      </c>
      <c r="D422" s="354"/>
      <c r="E422" s="354"/>
      <c r="F422" s="353"/>
      <c r="G422" s="137">
        <f>+G421</f>
        <v>4911956.16</v>
      </c>
    </row>
    <row r="424" spans="1:9" ht="15.75" thickBot="1" x14ac:dyDescent="0.3">
      <c r="A424" s="80" t="s">
        <v>497</v>
      </c>
    </row>
    <row r="425" spans="1:9" ht="15.75" thickBot="1" x14ac:dyDescent="0.3">
      <c r="A425" s="347"/>
      <c r="B425" s="348"/>
      <c r="C425" s="348"/>
      <c r="D425" s="348"/>
      <c r="E425" s="348"/>
      <c r="F425" s="348"/>
      <c r="G425" s="349"/>
      <c r="H425" s="140"/>
      <c r="I425" s="134" t="s">
        <v>95</v>
      </c>
    </row>
    <row r="426" spans="1:9" ht="15.75" thickBot="1" x14ac:dyDescent="0.3">
      <c r="A426" s="350" t="s">
        <v>94</v>
      </c>
      <c r="B426" s="351"/>
      <c r="C426" s="350" t="s">
        <v>228</v>
      </c>
      <c r="D426" s="351"/>
      <c r="E426" s="350" t="s">
        <v>92</v>
      </c>
      <c r="F426" s="351"/>
      <c r="G426" s="134" t="s">
        <v>209</v>
      </c>
      <c r="H426" s="141"/>
      <c r="I426" s="140" t="s">
        <v>91</v>
      </c>
    </row>
    <row r="427" spans="1:9" ht="45.75" thickBot="1" x14ac:dyDescent="0.3">
      <c r="A427" s="132" t="s">
        <v>66</v>
      </c>
      <c r="B427" s="133" t="s">
        <v>67</v>
      </c>
      <c r="C427" s="134" t="s">
        <v>230</v>
      </c>
      <c r="D427" s="134" t="s">
        <v>231</v>
      </c>
      <c r="E427" s="134" t="s">
        <v>481</v>
      </c>
      <c r="F427" s="134" t="s">
        <v>910</v>
      </c>
      <c r="G427" s="134" t="s">
        <v>911</v>
      </c>
      <c r="H427" s="134" t="s">
        <v>485</v>
      </c>
      <c r="I427" s="136">
        <v>3411353.03</v>
      </c>
    </row>
    <row r="428" spans="1:9" ht="45.75" thickBot="1" x14ac:dyDescent="0.3">
      <c r="A428" s="132" t="s">
        <v>66</v>
      </c>
      <c r="B428" s="133" t="s">
        <v>67</v>
      </c>
      <c r="C428" s="134" t="s">
        <v>230</v>
      </c>
      <c r="D428" s="134" t="s">
        <v>231</v>
      </c>
      <c r="E428" s="134" t="s">
        <v>481</v>
      </c>
      <c r="F428" s="134" t="s">
        <v>910</v>
      </c>
      <c r="G428" s="352" t="s">
        <v>64</v>
      </c>
      <c r="H428" s="353"/>
      <c r="I428" s="137">
        <v>3411353.03</v>
      </c>
    </row>
    <row r="429" spans="1:9" ht="23.25" thickBot="1" x14ac:dyDescent="0.3">
      <c r="A429" s="132" t="s">
        <v>66</v>
      </c>
      <c r="B429" s="133" t="s">
        <v>67</v>
      </c>
      <c r="C429" s="134" t="s">
        <v>230</v>
      </c>
      <c r="D429" s="134" t="s">
        <v>231</v>
      </c>
      <c r="E429" s="352" t="s">
        <v>64</v>
      </c>
      <c r="F429" s="354"/>
      <c r="G429" s="354"/>
      <c r="H429" s="353"/>
      <c r="I429" s="137">
        <v>3411353.03</v>
      </c>
    </row>
    <row r="430" spans="1:9" ht="15.75" thickBot="1" x14ac:dyDescent="0.3">
      <c r="A430" s="132" t="s">
        <v>66</v>
      </c>
      <c r="B430" s="133" t="s">
        <v>67</v>
      </c>
      <c r="C430" s="352" t="s">
        <v>64</v>
      </c>
      <c r="D430" s="354"/>
      <c r="E430" s="354"/>
      <c r="F430" s="354"/>
      <c r="G430" s="354"/>
      <c r="H430" s="353"/>
      <c r="I430" s="137">
        <v>3411353.03</v>
      </c>
    </row>
    <row r="431" spans="1:9" ht="45.75" thickBot="1" x14ac:dyDescent="0.3">
      <c r="A431" s="132" t="s">
        <v>76</v>
      </c>
      <c r="B431" s="133" t="s">
        <v>77</v>
      </c>
      <c r="C431" s="134" t="s">
        <v>230</v>
      </c>
      <c r="D431" s="134" t="s">
        <v>231</v>
      </c>
      <c r="E431" s="134" t="s">
        <v>481</v>
      </c>
      <c r="F431" s="134" t="s">
        <v>910</v>
      </c>
      <c r="G431" s="134" t="s">
        <v>911</v>
      </c>
      <c r="H431" s="134" t="s">
        <v>485</v>
      </c>
      <c r="I431" s="136">
        <v>13405806.949999999</v>
      </c>
    </row>
    <row r="432" spans="1:9" ht="45.75" thickBot="1" x14ac:dyDescent="0.3">
      <c r="A432" s="132" t="s">
        <v>76</v>
      </c>
      <c r="B432" s="133" t="s">
        <v>77</v>
      </c>
      <c r="C432" s="134" t="s">
        <v>230</v>
      </c>
      <c r="D432" s="134" t="s">
        <v>231</v>
      </c>
      <c r="E432" s="134" t="s">
        <v>481</v>
      </c>
      <c r="F432" s="134" t="s">
        <v>910</v>
      </c>
      <c r="G432" s="352" t="s">
        <v>64</v>
      </c>
      <c r="H432" s="353"/>
      <c r="I432" s="137">
        <v>13405806.949999999</v>
      </c>
    </row>
    <row r="433" spans="1:9" ht="23.25" thickBot="1" x14ac:dyDescent="0.3">
      <c r="A433" s="132" t="s">
        <v>76</v>
      </c>
      <c r="B433" s="133" t="s">
        <v>77</v>
      </c>
      <c r="C433" s="134" t="s">
        <v>230</v>
      </c>
      <c r="D433" s="134" t="s">
        <v>231</v>
      </c>
      <c r="E433" s="352" t="s">
        <v>64</v>
      </c>
      <c r="F433" s="354"/>
      <c r="G433" s="354"/>
      <c r="H433" s="353"/>
      <c r="I433" s="137">
        <v>13405806.949999999</v>
      </c>
    </row>
    <row r="434" spans="1:9" ht="15.75" thickBot="1" x14ac:dyDescent="0.3">
      <c r="A434" s="132" t="s">
        <v>76</v>
      </c>
      <c r="B434" s="133" t="s">
        <v>77</v>
      </c>
      <c r="C434" s="352" t="s">
        <v>64</v>
      </c>
      <c r="D434" s="354"/>
      <c r="E434" s="354"/>
      <c r="F434" s="354"/>
      <c r="G434" s="354"/>
      <c r="H434" s="353"/>
      <c r="I434" s="137">
        <v>13405806.949999999</v>
      </c>
    </row>
    <row r="435" spans="1:9" ht="45.75" thickBot="1" x14ac:dyDescent="0.3">
      <c r="A435" s="132" t="s">
        <v>80</v>
      </c>
      <c r="B435" s="133" t="s">
        <v>24</v>
      </c>
      <c r="C435" s="134" t="s">
        <v>912</v>
      </c>
      <c r="D435" s="134" t="s">
        <v>913</v>
      </c>
      <c r="E435" s="134" t="s">
        <v>552</v>
      </c>
      <c r="F435" s="134" t="s">
        <v>888</v>
      </c>
      <c r="G435" s="134" t="s">
        <v>911</v>
      </c>
      <c r="H435" s="134" t="s">
        <v>485</v>
      </c>
      <c r="I435" s="135">
        <v>11269069.35</v>
      </c>
    </row>
    <row r="436" spans="1:9" ht="45.75" thickBot="1" x14ac:dyDescent="0.3">
      <c r="A436" s="132" t="s">
        <v>80</v>
      </c>
      <c r="B436" s="133" t="s">
        <v>24</v>
      </c>
      <c r="C436" s="134" t="s">
        <v>912</v>
      </c>
      <c r="D436" s="134" t="s">
        <v>913</v>
      </c>
      <c r="E436" s="134" t="s">
        <v>552</v>
      </c>
      <c r="F436" s="134" t="s">
        <v>888</v>
      </c>
      <c r="G436" s="352" t="s">
        <v>64</v>
      </c>
      <c r="H436" s="353"/>
      <c r="I436" s="137">
        <v>11269069.35</v>
      </c>
    </row>
    <row r="437" spans="1:9" ht="34.5" thickBot="1" x14ac:dyDescent="0.3">
      <c r="A437" s="132" t="s">
        <v>80</v>
      </c>
      <c r="B437" s="133" t="s">
        <v>24</v>
      </c>
      <c r="C437" s="134" t="s">
        <v>912</v>
      </c>
      <c r="D437" s="134" t="s">
        <v>913</v>
      </c>
      <c r="E437" s="352" t="s">
        <v>64</v>
      </c>
      <c r="F437" s="354"/>
      <c r="G437" s="354"/>
      <c r="H437" s="353"/>
      <c r="I437" s="137">
        <v>11269069.35</v>
      </c>
    </row>
    <row r="439" spans="1:9" ht="15.75" thickBot="1" x14ac:dyDescent="0.3"/>
    <row r="440" spans="1:9" ht="15.75" thickBot="1" x14ac:dyDescent="0.3">
      <c r="A440" s="347"/>
      <c r="B440" s="348"/>
      <c r="C440" s="349"/>
      <c r="D440" s="140"/>
      <c r="E440" s="134" t="s">
        <v>95</v>
      </c>
    </row>
    <row r="441" spans="1:9" ht="15.75" thickBot="1" x14ac:dyDescent="0.3">
      <c r="A441" s="350" t="s">
        <v>94</v>
      </c>
      <c r="B441" s="351"/>
      <c r="C441" s="134" t="s">
        <v>228</v>
      </c>
      <c r="D441" s="141"/>
      <c r="E441" s="140" t="s">
        <v>91</v>
      </c>
    </row>
    <row r="442" spans="1:9" ht="23.25" thickBot="1" x14ac:dyDescent="0.3">
      <c r="A442" s="132" t="s">
        <v>65</v>
      </c>
      <c r="B442" s="133" t="s">
        <v>26</v>
      </c>
      <c r="C442" s="134" t="s">
        <v>511</v>
      </c>
      <c r="D442" s="134" t="s">
        <v>510</v>
      </c>
      <c r="E442" s="135">
        <v>72886</v>
      </c>
    </row>
    <row r="443" spans="1:9" ht="23.25" thickBot="1" x14ac:dyDescent="0.3">
      <c r="A443" s="132" t="s">
        <v>65</v>
      </c>
      <c r="B443" s="133" t="s">
        <v>26</v>
      </c>
      <c r="C443" s="134" t="s">
        <v>509</v>
      </c>
      <c r="D443" s="134" t="s">
        <v>508</v>
      </c>
      <c r="E443" s="136">
        <v>17832805.210000001</v>
      </c>
    </row>
    <row r="444" spans="1:9" ht="23.25" thickBot="1" x14ac:dyDescent="0.3">
      <c r="A444" s="132" t="s">
        <v>65</v>
      </c>
      <c r="B444" s="133" t="s">
        <v>26</v>
      </c>
      <c r="C444" s="134" t="s">
        <v>507</v>
      </c>
      <c r="D444" s="134" t="s">
        <v>506</v>
      </c>
      <c r="E444" s="135">
        <v>94035.79</v>
      </c>
    </row>
    <row r="445" spans="1:9" ht="23.25" thickBot="1" x14ac:dyDescent="0.3">
      <c r="A445" s="132" t="s">
        <v>65</v>
      </c>
      <c r="B445" s="133" t="s">
        <v>26</v>
      </c>
      <c r="C445" s="134" t="s">
        <v>503</v>
      </c>
      <c r="D445" s="134" t="s">
        <v>914</v>
      </c>
      <c r="E445" s="136">
        <v>1235542.1200000001</v>
      </c>
    </row>
    <row r="446" spans="1:9" ht="23.25" thickBot="1" x14ac:dyDescent="0.3">
      <c r="A446" s="132" t="s">
        <v>65</v>
      </c>
      <c r="B446" s="133" t="s">
        <v>26</v>
      </c>
      <c r="C446" s="134" t="s">
        <v>501</v>
      </c>
      <c r="D446" s="134" t="s">
        <v>500</v>
      </c>
      <c r="E446" s="135">
        <v>1682724.21</v>
      </c>
    </row>
    <row r="447" spans="1:9" ht="23.25" thickBot="1" x14ac:dyDescent="0.3">
      <c r="A447" s="132" t="s">
        <v>65</v>
      </c>
      <c r="B447" s="133" t="s">
        <v>26</v>
      </c>
      <c r="C447" s="134" t="s">
        <v>499</v>
      </c>
      <c r="D447" s="134" t="s">
        <v>498</v>
      </c>
      <c r="E447" s="136">
        <v>0</v>
      </c>
    </row>
    <row r="448" spans="1:9" ht="15.75" thickBot="1" x14ac:dyDescent="0.3">
      <c r="A448" s="132" t="s">
        <v>65</v>
      </c>
      <c r="B448" s="133" t="s">
        <v>26</v>
      </c>
      <c r="C448" s="352" t="s">
        <v>64</v>
      </c>
      <c r="D448" s="353"/>
      <c r="E448" s="137">
        <v>20917993.329999998</v>
      </c>
    </row>
    <row r="449" spans="1:17" ht="15.75" thickBot="1" x14ac:dyDescent="0.3"/>
    <row r="450" spans="1:17" ht="15.75" thickBot="1" x14ac:dyDescent="0.3">
      <c r="A450" s="347"/>
      <c r="B450" s="348"/>
      <c r="C450" s="348"/>
      <c r="D450" s="348"/>
      <c r="E450" s="349"/>
      <c r="F450" s="140"/>
      <c r="G450" s="134" t="s">
        <v>95</v>
      </c>
    </row>
    <row r="451" spans="1:17" ht="15.75" thickBot="1" x14ac:dyDescent="0.3">
      <c r="A451" s="350" t="s">
        <v>94</v>
      </c>
      <c r="B451" s="351"/>
      <c r="C451" s="350" t="s">
        <v>92</v>
      </c>
      <c r="D451" s="351"/>
      <c r="E451" s="134" t="s">
        <v>209</v>
      </c>
      <c r="F451" s="141"/>
      <c r="G451" s="140" t="s">
        <v>91</v>
      </c>
    </row>
    <row r="452" spans="1:17" ht="23.25" thickBot="1" x14ac:dyDescent="0.3">
      <c r="A452" s="139" t="s">
        <v>90</v>
      </c>
      <c r="B452" s="139" t="s">
        <v>89</v>
      </c>
      <c r="C452" s="134" t="s">
        <v>915</v>
      </c>
      <c r="D452" s="134" t="s">
        <v>557</v>
      </c>
      <c r="E452" s="134" t="s">
        <v>381</v>
      </c>
      <c r="F452" s="134" t="s">
        <v>380</v>
      </c>
      <c r="G452" s="136">
        <v>821470.48</v>
      </c>
    </row>
    <row r="453" spans="1:17" ht="23.25" thickBot="1" x14ac:dyDescent="0.3">
      <c r="A453" s="139" t="s">
        <v>90</v>
      </c>
      <c r="B453" s="139" t="s">
        <v>89</v>
      </c>
      <c r="C453" s="134" t="s">
        <v>915</v>
      </c>
      <c r="D453" s="134" t="s">
        <v>557</v>
      </c>
      <c r="E453" s="352" t="s">
        <v>64</v>
      </c>
      <c r="F453" s="353"/>
      <c r="G453" s="137">
        <v>821470.48</v>
      </c>
    </row>
    <row r="454" spans="1:17" ht="57" thickBot="1" x14ac:dyDescent="0.3">
      <c r="A454" s="139" t="s">
        <v>90</v>
      </c>
      <c r="B454" s="139" t="s">
        <v>89</v>
      </c>
      <c r="C454" s="134" t="s">
        <v>486</v>
      </c>
      <c r="D454" s="134" t="s">
        <v>916</v>
      </c>
      <c r="E454" s="134" t="s">
        <v>381</v>
      </c>
      <c r="F454" s="134" t="s">
        <v>380</v>
      </c>
      <c r="G454" s="136">
        <v>392</v>
      </c>
    </row>
    <row r="455" spans="1:17" ht="57" thickBot="1" x14ac:dyDescent="0.3">
      <c r="A455" s="139" t="s">
        <v>90</v>
      </c>
      <c r="B455" s="139" t="s">
        <v>89</v>
      </c>
      <c r="C455" s="134" t="s">
        <v>486</v>
      </c>
      <c r="D455" s="134" t="s">
        <v>916</v>
      </c>
      <c r="E455" s="352" t="s">
        <v>64</v>
      </c>
      <c r="F455" s="353"/>
      <c r="G455" s="137">
        <v>392</v>
      </c>
    </row>
    <row r="456" spans="1:17" ht="34.5" thickBot="1" x14ac:dyDescent="0.3">
      <c r="A456" s="139" t="s">
        <v>90</v>
      </c>
      <c r="B456" s="139" t="s">
        <v>89</v>
      </c>
      <c r="C456" s="134" t="s">
        <v>917</v>
      </c>
      <c r="D456" s="134" t="s">
        <v>918</v>
      </c>
      <c r="E456" s="134" t="s">
        <v>381</v>
      </c>
      <c r="F456" s="134" t="s">
        <v>380</v>
      </c>
      <c r="G456" s="136">
        <v>2499265.52</v>
      </c>
    </row>
    <row r="457" spans="1:17" ht="34.5" thickBot="1" x14ac:dyDescent="0.3">
      <c r="A457" s="139" t="s">
        <v>90</v>
      </c>
      <c r="B457" s="139" t="s">
        <v>89</v>
      </c>
      <c r="C457" s="134" t="s">
        <v>917</v>
      </c>
      <c r="D457" s="134" t="s">
        <v>918</v>
      </c>
      <c r="E457" s="352" t="s">
        <v>64</v>
      </c>
      <c r="F457" s="353"/>
      <c r="G457" s="137">
        <v>2499265.52</v>
      </c>
    </row>
    <row r="458" spans="1:17" ht="45.75" thickBot="1" x14ac:dyDescent="0.3">
      <c r="A458" s="139" t="s">
        <v>90</v>
      </c>
      <c r="B458" s="139" t="s">
        <v>89</v>
      </c>
      <c r="C458" s="134" t="s">
        <v>481</v>
      </c>
      <c r="D458" s="134" t="s">
        <v>910</v>
      </c>
      <c r="E458" s="134" t="s">
        <v>381</v>
      </c>
      <c r="F458" s="134" t="s">
        <v>380</v>
      </c>
      <c r="G458" s="136">
        <v>523.70000000000005</v>
      </c>
    </row>
    <row r="459" spans="1:17" ht="45.75" thickBot="1" x14ac:dyDescent="0.3">
      <c r="A459" s="139" t="s">
        <v>90</v>
      </c>
      <c r="B459" s="139" t="s">
        <v>89</v>
      </c>
      <c r="C459" s="134" t="s">
        <v>481</v>
      </c>
      <c r="D459" s="134" t="s">
        <v>910</v>
      </c>
      <c r="E459" s="352" t="s">
        <v>64</v>
      </c>
      <c r="F459" s="353"/>
      <c r="G459" s="137">
        <v>523.70000000000005</v>
      </c>
    </row>
    <row r="460" spans="1:17" ht="34.5" thickBot="1" x14ac:dyDescent="0.3">
      <c r="A460" s="139" t="s">
        <v>90</v>
      </c>
      <c r="B460" s="139" t="s">
        <v>89</v>
      </c>
      <c r="C460" s="134" t="s">
        <v>919</v>
      </c>
      <c r="D460" s="134" t="s">
        <v>920</v>
      </c>
      <c r="E460" s="134" t="s">
        <v>381</v>
      </c>
      <c r="F460" s="134" t="s">
        <v>380</v>
      </c>
      <c r="G460" s="136">
        <v>5375.25</v>
      </c>
    </row>
    <row r="461" spans="1:17" ht="34.5" thickBot="1" x14ac:dyDescent="0.3">
      <c r="A461" s="139" t="s">
        <v>90</v>
      </c>
      <c r="B461" s="139" t="s">
        <v>89</v>
      </c>
      <c r="C461" s="134" t="s">
        <v>919</v>
      </c>
      <c r="D461" s="134" t="s">
        <v>920</v>
      </c>
      <c r="E461" s="352" t="s">
        <v>64</v>
      </c>
      <c r="F461" s="353"/>
      <c r="G461" s="137">
        <v>5375.25</v>
      </c>
      <c r="I461" s="295"/>
      <c r="J461" s="295"/>
      <c r="K461" s="295"/>
      <c r="L461" s="295"/>
    </row>
    <row r="462" spans="1:17" ht="15.75" thickBot="1" x14ac:dyDescent="0.3">
      <c r="A462" s="139" t="s">
        <v>90</v>
      </c>
      <c r="B462" s="139" t="s">
        <v>89</v>
      </c>
      <c r="C462" s="352" t="s">
        <v>64</v>
      </c>
      <c r="D462" s="354"/>
      <c r="E462" s="354"/>
      <c r="F462" s="353"/>
      <c r="G462" s="137">
        <v>3327026.95</v>
      </c>
      <c r="I462" s="299" t="s">
        <v>92</v>
      </c>
      <c r="J462" s="300"/>
      <c r="K462" s="134" t="s">
        <v>209</v>
      </c>
      <c r="L462" s="140" t="s">
        <v>91</v>
      </c>
      <c r="N462" s="350" t="s">
        <v>92</v>
      </c>
      <c r="O462" s="351"/>
      <c r="P462" s="306" t="s">
        <v>209</v>
      </c>
      <c r="Q462" s="305" t="s">
        <v>91</v>
      </c>
    </row>
    <row r="463" spans="1:17" ht="57" thickBot="1" x14ac:dyDescent="0.3">
      <c r="A463" s="132" t="s">
        <v>54</v>
      </c>
      <c r="B463" s="133" t="s">
        <v>55</v>
      </c>
      <c r="C463" s="134" t="s">
        <v>486</v>
      </c>
      <c r="D463" s="134" t="s">
        <v>916</v>
      </c>
      <c r="E463" s="134" t="s">
        <v>381</v>
      </c>
      <c r="F463" s="134" t="s">
        <v>380</v>
      </c>
      <c r="G463" s="135">
        <v>392</v>
      </c>
      <c r="I463" s="134" t="s">
        <v>919</v>
      </c>
      <c r="J463" s="134" t="s">
        <v>920</v>
      </c>
      <c r="K463" s="134" t="s">
        <v>492</v>
      </c>
      <c r="L463" s="136">
        <v>600534.66</v>
      </c>
      <c r="M463" s="2">
        <f>+L463+L464+L465+L466+L467</f>
        <v>628322.19000000006</v>
      </c>
      <c r="N463" s="306" t="s">
        <v>481</v>
      </c>
      <c r="O463" s="306" t="s">
        <v>910</v>
      </c>
      <c r="P463" s="306" t="s">
        <v>231</v>
      </c>
      <c r="Q463" s="307">
        <v>3055.8</v>
      </c>
    </row>
    <row r="464" spans="1:17" ht="57" thickBot="1" x14ac:dyDescent="0.3">
      <c r="A464" s="132" t="s">
        <v>54</v>
      </c>
      <c r="B464" s="133" t="s">
        <v>55</v>
      </c>
      <c r="C464" s="134" t="s">
        <v>486</v>
      </c>
      <c r="D464" s="134" t="s">
        <v>916</v>
      </c>
      <c r="E464" s="352" t="s">
        <v>64</v>
      </c>
      <c r="F464" s="353"/>
      <c r="G464" s="137">
        <v>392</v>
      </c>
      <c r="I464" s="134" t="s">
        <v>919</v>
      </c>
      <c r="J464" s="134" t="s">
        <v>920</v>
      </c>
      <c r="K464" s="134" t="s">
        <v>380</v>
      </c>
      <c r="L464" s="135">
        <v>402.92</v>
      </c>
      <c r="N464" s="352" t="s">
        <v>64</v>
      </c>
      <c r="O464" s="354"/>
      <c r="P464" s="353"/>
      <c r="Q464" s="308">
        <v>3055.8</v>
      </c>
    </row>
    <row r="465" spans="1:16" ht="34.5" thickBot="1" x14ac:dyDescent="0.3">
      <c r="A465" s="132" t="s">
        <v>54</v>
      </c>
      <c r="B465" s="133" t="s">
        <v>55</v>
      </c>
      <c r="C465" s="134" t="s">
        <v>917</v>
      </c>
      <c r="D465" s="134" t="s">
        <v>918</v>
      </c>
      <c r="E465" s="134" t="s">
        <v>381</v>
      </c>
      <c r="F465" s="134" t="s">
        <v>380</v>
      </c>
      <c r="G465" s="135">
        <v>92302.48</v>
      </c>
      <c r="I465" s="134" t="s">
        <v>919</v>
      </c>
      <c r="J465" s="134" t="s">
        <v>920</v>
      </c>
      <c r="K465" s="134" t="s">
        <v>1009</v>
      </c>
      <c r="L465" s="136">
        <v>43328.22</v>
      </c>
    </row>
    <row r="466" spans="1:16" ht="34.5" thickBot="1" x14ac:dyDescent="0.3">
      <c r="A466" s="132" t="s">
        <v>54</v>
      </c>
      <c r="B466" s="133" t="s">
        <v>55</v>
      </c>
      <c r="C466" s="134" t="s">
        <v>917</v>
      </c>
      <c r="D466" s="134" t="s">
        <v>918</v>
      </c>
      <c r="E466" s="352" t="s">
        <v>64</v>
      </c>
      <c r="F466" s="353"/>
      <c r="G466" s="137">
        <v>92302.48</v>
      </c>
      <c r="I466" s="134" t="s">
        <v>919</v>
      </c>
      <c r="J466" s="134" t="s">
        <v>920</v>
      </c>
      <c r="K466" s="134" t="s">
        <v>1010</v>
      </c>
      <c r="L466" s="135">
        <v>71.92</v>
      </c>
    </row>
    <row r="467" spans="1:16" ht="34.5" thickBot="1" x14ac:dyDescent="0.3">
      <c r="A467" s="132" t="s">
        <v>54</v>
      </c>
      <c r="B467" s="133" t="s">
        <v>55</v>
      </c>
      <c r="C467" s="134" t="s">
        <v>919</v>
      </c>
      <c r="D467" s="134" t="s">
        <v>920</v>
      </c>
      <c r="E467" s="134" t="s">
        <v>381</v>
      </c>
      <c r="F467" s="134" t="s">
        <v>380</v>
      </c>
      <c r="G467" s="135">
        <f>+M463</f>
        <v>628322.19000000006</v>
      </c>
      <c r="I467" s="134" t="s">
        <v>919</v>
      </c>
      <c r="J467" s="134" t="s">
        <v>920</v>
      </c>
      <c r="K467" s="134" t="s">
        <v>231</v>
      </c>
      <c r="L467" s="136">
        <v>-16015.53</v>
      </c>
    </row>
    <row r="468" spans="1:16" ht="34.5" thickBot="1" x14ac:dyDescent="0.3">
      <c r="A468" s="132" t="s">
        <v>54</v>
      </c>
      <c r="B468" s="133" t="s">
        <v>55</v>
      </c>
      <c r="C468" s="134" t="s">
        <v>919</v>
      </c>
      <c r="D468" s="134" t="s">
        <v>920</v>
      </c>
      <c r="E468" s="352" t="s">
        <v>64</v>
      </c>
      <c r="F468" s="353"/>
      <c r="G468" s="137">
        <f>+M463</f>
        <v>628322.19000000006</v>
      </c>
      <c r="I468" s="134" t="s">
        <v>917</v>
      </c>
      <c r="J468" s="134" t="s">
        <v>918</v>
      </c>
      <c r="K468" s="134" t="s">
        <v>380</v>
      </c>
      <c r="L468" s="135">
        <v>92302.48</v>
      </c>
    </row>
    <row r="469" spans="1:16" ht="15.75" thickBot="1" x14ac:dyDescent="0.3">
      <c r="A469" s="132" t="s">
        <v>54</v>
      </c>
      <c r="B469" s="133" t="s">
        <v>55</v>
      </c>
      <c r="C469" s="352" t="s">
        <v>64</v>
      </c>
      <c r="D469" s="354"/>
      <c r="E469" s="354"/>
      <c r="F469" s="353"/>
      <c r="G469" s="137">
        <f>+G468+G466+G464</f>
        <v>721016.67</v>
      </c>
      <c r="I469" s="352" t="s">
        <v>64</v>
      </c>
      <c r="J469" s="354"/>
      <c r="K469" s="353"/>
      <c r="L469" s="137">
        <f>SUM(L463:L468)</f>
        <v>720624.67</v>
      </c>
    </row>
    <row r="470" spans="1:16" ht="34.5" thickBot="1" x14ac:dyDescent="0.3">
      <c r="A470" s="132" t="s">
        <v>65</v>
      </c>
      <c r="B470" s="133" t="s">
        <v>26</v>
      </c>
      <c r="C470" s="134" t="s">
        <v>917</v>
      </c>
      <c r="D470" s="134" t="s">
        <v>918</v>
      </c>
      <c r="E470" s="134" t="s">
        <v>381</v>
      </c>
      <c r="F470" s="134" t="s">
        <v>380</v>
      </c>
      <c r="G470" s="136">
        <v>172</v>
      </c>
    </row>
    <row r="471" spans="1:16" ht="34.5" thickBot="1" x14ac:dyDescent="0.3">
      <c r="A471" s="132" t="s">
        <v>65</v>
      </c>
      <c r="B471" s="133" t="s">
        <v>26</v>
      </c>
      <c r="C471" s="134" t="s">
        <v>917</v>
      </c>
      <c r="D471" s="134" t="s">
        <v>918</v>
      </c>
      <c r="E471" s="352" t="s">
        <v>64</v>
      </c>
      <c r="F471" s="353"/>
      <c r="G471" s="137">
        <v>172</v>
      </c>
    </row>
    <row r="472" spans="1:16" ht="15.75" thickBot="1" x14ac:dyDescent="0.3">
      <c r="A472" s="132" t="s">
        <v>65</v>
      </c>
      <c r="B472" s="133" t="s">
        <v>26</v>
      </c>
      <c r="C472" s="352" t="s">
        <v>64</v>
      </c>
      <c r="D472" s="354"/>
      <c r="E472" s="354"/>
      <c r="F472" s="353"/>
      <c r="G472" s="137">
        <v>172</v>
      </c>
    </row>
    <row r="473" spans="1:16" ht="34.5" thickBot="1" x14ac:dyDescent="0.3">
      <c r="A473" s="132" t="s">
        <v>88</v>
      </c>
      <c r="B473" s="133" t="s">
        <v>87</v>
      </c>
      <c r="C473" s="134" t="s">
        <v>917</v>
      </c>
      <c r="D473" s="134" t="s">
        <v>918</v>
      </c>
      <c r="E473" s="134" t="s">
        <v>381</v>
      </c>
      <c r="F473" s="134" t="s">
        <v>380</v>
      </c>
      <c r="G473" s="135">
        <v>4474.16</v>
      </c>
    </row>
    <row r="474" spans="1:16" ht="34.5" thickBot="1" x14ac:dyDescent="0.3">
      <c r="A474" s="132" t="s">
        <v>88</v>
      </c>
      <c r="B474" s="133" t="s">
        <v>87</v>
      </c>
      <c r="C474" s="134" t="s">
        <v>917</v>
      </c>
      <c r="D474" s="134" t="s">
        <v>918</v>
      </c>
      <c r="E474" s="352" t="s">
        <v>64</v>
      </c>
      <c r="F474" s="353"/>
      <c r="G474" s="137">
        <v>4474.16</v>
      </c>
    </row>
    <row r="475" spans="1:16" ht="15.75" thickBot="1" x14ac:dyDescent="0.3">
      <c r="A475" s="132" t="s">
        <v>88</v>
      </c>
      <c r="B475" s="133" t="s">
        <v>87</v>
      </c>
      <c r="C475" s="352" t="s">
        <v>64</v>
      </c>
      <c r="D475" s="354"/>
      <c r="E475" s="354"/>
      <c r="F475" s="353"/>
      <c r="G475" s="137">
        <v>4474.16</v>
      </c>
    </row>
    <row r="476" spans="1:16" ht="23.25" thickBot="1" x14ac:dyDescent="0.3">
      <c r="A476" s="132" t="s">
        <v>66</v>
      </c>
      <c r="B476" s="133" t="s">
        <v>67</v>
      </c>
      <c r="C476" s="134" t="s">
        <v>915</v>
      </c>
      <c r="D476" s="134" t="s">
        <v>557</v>
      </c>
      <c r="E476" s="134" t="s">
        <v>381</v>
      </c>
      <c r="F476" s="134" t="s">
        <v>380</v>
      </c>
      <c r="G476" s="136">
        <v>512</v>
      </c>
      <c r="I476" s="309" t="s">
        <v>24</v>
      </c>
    </row>
    <row r="477" spans="1:16" ht="34.5" thickBot="1" x14ac:dyDescent="0.3">
      <c r="A477" s="132" t="s">
        <v>66</v>
      </c>
      <c r="B477" s="133" t="s">
        <v>67</v>
      </c>
      <c r="C477" s="134" t="s">
        <v>915</v>
      </c>
      <c r="D477" s="134" t="s">
        <v>557</v>
      </c>
      <c r="E477" s="352" t="s">
        <v>64</v>
      </c>
      <c r="F477" s="353"/>
      <c r="G477" s="137">
        <v>512</v>
      </c>
      <c r="I477" s="310"/>
      <c r="J477" s="311"/>
      <c r="K477" s="311"/>
      <c r="L477" s="311"/>
      <c r="M477" s="312"/>
      <c r="N477" s="305"/>
      <c r="O477" s="306" t="s">
        <v>993</v>
      </c>
      <c r="P477" s="309"/>
    </row>
    <row r="478" spans="1:16" ht="34.5" thickBot="1" x14ac:dyDescent="0.3">
      <c r="A478" s="132" t="s">
        <v>66</v>
      </c>
      <c r="B478" s="133" t="s">
        <v>67</v>
      </c>
      <c r="C478" s="134" t="s">
        <v>917</v>
      </c>
      <c r="D478" s="134" t="s">
        <v>918</v>
      </c>
      <c r="E478" s="134" t="s">
        <v>381</v>
      </c>
      <c r="F478" s="134" t="s">
        <v>380</v>
      </c>
      <c r="G478" s="136">
        <v>1595570.27</v>
      </c>
      <c r="I478" s="313" t="s">
        <v>94</v>
      </c>
      <c r="J478" s="314"/>
      <c r="K478" s="306" t="s">
        <v>382</v>
      </c>
      <c r="L478" s="306" t="s">
        <v>209</v>
      </c>
      <c r="M478" s="306" t="s">
        <v>92</v>
      </c>
      <c r="N478" s="141"/>
      <c r="O478" s="305" t="s">
        <v>91</v>
      </c>
      <c r="P478" s="309"/>
    </row>
    <row r="479" spans="1:16" ht="45.75" thickBot="1" x14ac:dyDescent="0.3">
      <c r="A479" s="132" t="s">
        <v>66</v>
      </c>
      <c r="B479" s="133" t="s">
        <v>67</v>
      </c>
      <c r="C479" s="134" t="s">
        <v>917</v>
      </c>
      <c r="D479" s="134" t="s">
        <v>918</v>
      </c>
      <c r="E479" s="352" t="s">
        <v>64</v>
      </c>
      <c r="F479" s="353"/>
      <c r="G479" s="137">
        <v>1595570.27</v>
      </c>
      <c r="I479" s="139" t="s">
        <v>90</v>
      </c>
      <c r="J479" s="139" t="s">
        <v>89</v>
      </c>
      <c r="K479" s="306" t="s">
        <v>803</v>
      </c>
      <c r="L479" s="306" t="s">
        <v>1024</v>
      </c>
      <c r="M479" s="306" t="s">
        <v>917</v>
      </c>
      <c r="N479" s="306" t="s">
        <v>1016</v>
      </c>
      <c r="O479" s="307">
        <v>610269.66</v>
      </c>
      <c r="P479" s="366" t="s">
        <v>1023</v>
      </c>
    </row>
    <row r="480" spans="1:16" ht="34.5" thickBot="1" x14ac:dyDescent="0.3">
      <c r="A480" s="132" t="s">
        <v>66</v>
      </c>
      <c r="B480" s="133" t="s">
        <v>67</v>
      </c>
      <c r="C480" s="134" t="s">
        <v>919</v>
      </c>
      <c r="D480" s="134" t="s">
        <v>920</v>
      </c>
      <c r="E480" s="134" t="s">
        <v>381</v>
      </c>
      <c r="F480" s="134" t="s">
        <v>380</v>
      </c>
      <c r="G480" s="136">
        <v>3965.51</v>
      </c>
      <c r="I480" s="139" t="s">
        <v>90</v>
      </c>
      <c r="J480" s="139" t="s">
        <v>89</v>
      </c>
      <c r="K480" s="306" t="s">
        <v>803</v>
      </c>
      <c r="L480" s="306" t="s">
        <v>1022</v>
      </c>
      <c r="M480" s="306" t="s">
        <v>917</v>
      </c>
      <c r="N480" s="306" t="s">
        <v>1016</v>
      </c>
      <c r="O480" s="135">
        <v>290675.49</v>
      </c>
      <c r="P480" s="366"/>
    </row>
    <row r="481" spans="1:16" ht="34.5" thickBot="1" x14ac:dyDescent="0.3">
      <c r="A481" s="132" t="s">
        <v>66</v>
      </c>
      <c r="B481" s="133" t="s">
        <v>67</v>
      </c>
      <c r="C481" s="134" t="s">
        <v>919</v>
      </c>
      <c r="D481" s="134" t="s">
        <v>920</v>
      </c>
      <c r="E481" s="352" t="s">
        <v>64</v>
      </c>
      <c r="F481" s="353"/>
      <c r="G481" s="137">
        <v>3965.51</v>
      </c>
      <c r="I481" s="139" t="s">
        <v>90</v>
      </c>
      <c r="J481" s="139" t="s">
        <v>89</v>
      </c>
      <c r="K481" s="306" t="s">
        <v>803</v>
      </c>
      <c r="L481" s="306" t="s">
        <v>231</v>
      </c>
      <c r="M481" s="306" t="s">
        <v>917</v>
      </c>
      <c r="N481" s="306" t="s">
        <v>1016</v>
      </c>
      <c r="O481" s="135">
        <v>280162.44</v>
      </c>
      <c r="P481" s="366"/>
    </row>
    <row r="482" spans="1:16" ht="34.5" thickBot="1" x14ac:dyDescent="0.3">
      <c r="A482" s="132" t="s">
        <v>66</v>
      </c>
      <c r="B482" s="133" t="s">
        <v>67</v>
      </c>
      <c r="C482" s="352" t="s">
        <v>64</v>
      </c>
      <c r="D482" s="354"/>
      <c r="E482" s="354"/>
      <c r="F482" s="353"/>
      <c r="G482" s="137">
        <v>1600047.78</v>
      </c>
      <c r="I482" s="139" t="s">
        <v>90</v>
      </c>
      <c r="J482" s="139" t="s">
        <v>89</v>
      </c>
      <c r="K482" s="306" t="s">
        <v>803</v>
      </c>
      <c r="L482" s="306" t="s">
        <v>1021</v>
      </c>
      <c r="M482" s="306" t="s">
        <v>481</v>
      </c>
      <c r="N482" s="306" t="s">
        <v>482</v>
      </c>
      <c r="O482" s="307">
        <v>15448.55</v>
      </c>
      <c r="P482" s="309"/>
    </row>
    <row r="483" spans="1:16" ht="23.25" thickBot="1" x14ac:dyDescent="0.3">
      <c r="A483" s="132" t="s">
        <v>72</v>
      </c>
      <c r="B483" s="133" t="s">
        <v>73</v>
      </c>
      <c r="C483" s="134" t="s">
        <v>915</v>
      </c>
      <c r="D483" s="134" t="s">
        <v>557</v>
      </c>
      <c r="E483" s="134" t="s">
        <v>381</v>
      </c>
      <c r="F483" s="134" t="s">
        <v>380</v>
      </c>
      <c r="G483" s="135">
        <v>820958.48</v>
      </c>
      <c r="I483" s="139" t="s">
        <v>90</v>
      </c>
      <c r="J483" s="139" t="s">
        <v>89</v>
      </c>
      <c r="K483" s="306" t="s">
        <v>803</v>
      </c>
      <c r="L483" s="306" t="s">
        <v>483</v>
      </c>
      <c r="M483" s="306" t="s">
        <v>481</v>
      </c>
      <c r="N483" s="306" t="s">
        <v>482</v>
      </c>
      <c r="O483" s="135">
        <v>485086.36</v>
      </c>
      <c r="P483" s="366" t="s">
        <v>1020</v>
      </c>
    </row>
    <row r="484" spans="1:16" ht="23.25" thickBot="1" x14ac:dyDescent="0.3">
      <c r="A484" s="132" t="s">
        <v>72</v>
      </c>
      <c r="B484" s="133" t="s">
        <v>73</v>
      </c>
      <c r="C484" s="134" t="s">
        <v>915</v>
      </c>
      <c r="D484" s="134" t="s">
        <v>557</v>
      </c>
      <c r="E484" s="352" t="s">
        <v>64</v>
      </c>
      <c r="F484" s="353"/>
      <c r="G484" s="137">
        <v>820958.48</v>
      </c>
      <c r="I484" s="139" t="s">
        <v>90</v>
      </c>
      <c r="J484" s="139" t="s">
        <v>89</v>
      </c>
      <c r="K484" s="306" t="s">
        <v>803</v>
      </c>
      <c r="L484" s="306" t="s">
        <v>483</v>
      </c>
      <c r="M484" s="306" t="s">
        <v>486</v>
      </c>
      <c r="N484" s="306" t="s">
        <v>487</v>
      </c>
      <c r="O484" s="307">
        <v>8832.2800000000007</v>
      </c>
      <c r="P484" s="366"/>
    </row>
    <row r="485" spans="1:16" ht="45.75" thickBot="1" x14ac:dyDescent="0.3">
      <c r="A485" s="132" t="s">
        <v>72</v>
      </c>
      <c r="B485" s="133" t="s">
        <v>73</v>
      </c>
      <c r="C485" s="134" t="s">
        <v>481</v>
      </c>
      <c r="D485" s="134" t="s">
        <v>910</v>
      </c>
      <c r="E485" s="134" t="s">
        <v>381</v>
      </c>
      <c r="F485" s="134" t="s">
        <v>380</v>
      </c>
      <c r="G485" s="135">
        <v>376.18</v>
      </c>
      <c r="I485" s="139" t="s">
        <v>90</v>
      </c>
      <c r="J485" s="139" t="s">
        <v>89</v>
      </c>
      <c r="K485" s="306" t="s">
        <v>803</v>
      </c>
      <c r="L485" s="306" t="s">
        <v>1019</v>
      </c>
      <c r="M485" s="306" t="s">
        <v>917</v>
      </c>
      <c r="N485" s="306" t="s">
        <v>1016</v>
      </c>
      <c r="O485" s="135">
        <v>6240</v>
      </c>
      <c r="P485" s="309"/>
    </row>
    <row r="486" spans="1:16" ht="45.75" thickBot="1" x14ac:dyDescent="0.3">
      <c r="A486" s="132" t="s">
        <v>72</v>
      </c>
      <c r="B486" s="133" t="s">
        <v>73</v>
      </c>
      <c r="C486" s="134" t="s">
        <v>481</v>
      </c>
      <c r="D486" s="134" t="s">
        <v>910</v>
      </c>
      <c r="E486" s="352" t="s">
        <v>64</v>
      </c>
      <c r="F486" s="353"/>
      <c r="G486" s="137">
        <v>376.18</v>
      </c>
      <c r="I486" s="139" t="s">
        <v>90</v>
      </c>
      <c r="J486" s="139" t="s">
        <v>89</v>
      </c>
      <c r="K486" s="306" t="s">
        <v>803</v>
      </c>
      <c r="L486" s="306" t="s">
        <v>493</v>
      </c>
      <c r="M486" s="306" t="s">
        <v>481</v>
      </c>
      <c r="N486" s="306" t="s">
        <v>482</v>
      </c>
      <c r="O486" s="307">
        <v>437641.53</v>
      </c>
      <c r="P486" s="320" t="s">
        <v>1018</v>
      </c>
    </row>
    <row r="487" spans="1:16" ht="34.5" thickBot="1" x14ac:dyDescent="0.3">
      <c r="A487" s="132" t="s">
        <v>72</v>
      </c>
      <c r="B487" s="133" t="s">
        <v>73</v>
      </c>
      <c r="C487" s="134" t="s">
        <v>919</v>
      </c>
      <c r="D487" s="134" t="s">
        <v>920</v>
      </c>
      <c r="E487" s="134" t="s">
        <v>381</v>
      </c>
      <c r="F487" s="134" t="s">
        <v>380</v>
      </c>
      <c r="G487" s="135">
        <v>1006.82</v>
      </c>
      <c r="I487" s="139" t="s">
        <v>90</v>
      </c>
      <c r="J487" s="139" t="s">
        <v>89</v>
      </c>
      <c r="K487" s="306" t="s">
        <v>803</v>
      </c>
      <c r="L487" s="306" t="s">
        <v>484</v>
      </c>
      <c r="M487" s="306" t="s">
        <v>481</v>
      </c>
      <c r="N487" s="306" t="s">
        <v>482</v>
      </c>
      <c r="O487" s="135">
        <v>756835.04</v>
      </c>
      <c r="P487" s="366" t="s">
        <v>1025</v>
      </c>
    </row>
    <row r="488" spans="1:16" ht="34.5" thickBot="1" x14ac:dyDescent="0.3">
      <c r="A488" s="132" t="s">
        <v>72</v>
      </c>
      <c r="B488" s="133" t="s">
        <v>73</v>
      </c>
      <c r="C488" s="134" t="s">
        <v>919</v>
      </c>
      <c r="D488" s="134" t="s">
        <v>920</v>
      </c>
      <c r="E488" s="352" t="s">
        <v>64</v>
      </c>
      <c r="F488" s="353"/>
      <c r="G488" s="137">
        <v>1006.82</v>
      </c>
      <c r="I488" s="139" t="s">
        <v>90</v>
      </c>
      <c r="J488" s="139" t="s">
        <v>89</v>
      </c>
      <c r="K488" s="306" t="s">
        <v>803</v>
      </c>
      <c r="L488" s="306" t="s">
        <v>484</v>
      </c>
      <c r="M488" s="306" t="s">
        <v>917</v>
      </c>
      <c r="N488" s="306" t="s">
        <v>1016</v>
      </c>
      <c r="O488" s="307">
        <v>22127.09</v>
      </c>
      <c r="P488" s="366"/>
    </row>
    <row r="489" spans="1:16" ht="23.25" thickBot="1" x14ac:dyDescent="0.3">
      <c r="A489" s="132" t="s">
        <v>72</v>
      </c>
      <c r="B489" s="133" t="s">
        <v>73</v>
      </c>
      <c r="C489" s="352" t="s">
        <v>64</v>
      </c>
      <c r="D489" s="354"/>
      <c r="E489" s="354"/>
      <c r="F489" s="353"/>
      <c r="G489" s="137">
        <v>822341.48</v>
      </c>
      <c r="I489" s="139" t="s">
        <v>90</v>
      </c>
      <c r="J489" s="139" t="s">
        <v>89</v>
      </c>
      <c r="K489" s="306" t="s">
        <v>1017</v>
      </c>
      <c r="L489" s="306" t="s">
        <v>231</v>
      </c>
      <c r="M489" s="306" t="s">
        <v>486</v>
      </c>
      <c r="N489" s="306" t="s">
        <v>487</v>
      </c>
      <c r="O489" s="135">
        <v>47577.05</v>
      </c>
      <c r="P489" s="366"/>
    </row>
    <row r="490" spans="1:16" ht="34.5" thickBot="1" x14ac:dyDescent="0.3">
      <c r="A490" s="132" t="s">
        <v>76</v>
      </c>
      <c r="B490" s="133" t="s">
        <v>77</v>
      </c>
      <c r="C490" s="134" t="s">
        <v>917</v>
      </c>
      <c r="D490" s="134" t="s">
        <v>918</v>
      </c>
      <c r="E490" s="134" t="s">
        <v>381</v>
      </c>
      <c r="F490" s="134" t="s">
        <v>380</v>
      </c>
      <c r="G490" s="136">
        <v>6910.38</v>
      </c>
      <c r="I490" s="139" t="s">
        <v>90</v>
      </c>
      <c r="J490" s="139" t="s">
        <v>89</v>
      </c>
      <c r="K490" s="306" t="s">
        <v>803</v>
      </c>
      <c r="L490" s="306" t="s">
        <v>485</v>
      </c>
      <c r="M490" s="306" t="s">
        <v>481</v>
      </c>
      <c r="N490" s="306" t="s">
        <v>482</v>
      </c>
      <c r="O490" s="135">
        <v>276.60000000000002</v>
      </c>
      <c r="P490" s="309"/>
    </row>
    <row r="491" spans="1:16" ht="34.5" thickBot="1" x14ac:dyDescent="0.3">
      <c r="A491" s="132" t="s">
        <v>76</v>
      </c>
      <c r="B491" s="133" t="s">
        <v>77</v>
      </c>
      <c r="C491" s="134" t="s">
        <v>917</v>
      </c>
      <c r="D491" s="134" t="s">
        <v>918</v>
      </c>
      <c r="E491" s="352" t="s">
        <v>64</v>
      </c>
      <c r="F491" s="353"/>
      <c r="G491" s="137">
        <v>6910.38</v>
      </c>
      <c r="I491" s="139" t="s">
        <v>90</v>
      </c>
      <c r="J491" s="139" t="s">
        <v>89</v>
      </c>
      <c r="K491" s="306" t="s">
        <v>803</v>
      </c>
      <c r="L491" s="306" t="s">
        <v>496</v>
      </c>
      <c r="M491" s="306" t="s">
        <v>917</v>
      </c>
      <c r="N491" s="306" t="s">
        <v>1016</v>
      </c>
      <c r="O491" s="307">
        <v>10729.6</v>
      </c>
      <c r="P491" s="309"/>
    </row>
    <row r="492" spans="1:16" ht="23.25" thickBot="1" x14ac:dyDescent="0.3">
      <c r="A492" s="132" t="s">
        <v>76</v>
      </c>
      <c r="B492" s="133" t="s">
        <v>77</v>
      </c>
      <c r="C492" s="352" t="s">
        <v>64</v>
      </c>
      <c r="D492" s="354"/>
      <c r="E492" s="354"/>
      <c r="F492" s="353"/>
      <c r="G492" s="137">
        <v>6910.38</v>
      </c>
      <c r="I492" s="139" t="s">
        <v>90</v>
      </c>
      <c r="J492" s="139" t="s">
        <v>89</v>
      </c>
      <c r="K492" s="306" t="s">
        <v>803</v>
      </c>
      <c r="L492" s="306" t="s">
        <v>496</v>
      </c>
      <c r="M492" s="306" t="s">
        <v>486</v>
      </c>
      <c r="N492" s="306" t="s">
        <v>487</v>
      </c>
      <c r="O492" s="135">
        <v>100</v>
      </c>
      <c r="P492" s="309"/>
    </row>
    <row r="493" spans="1:16" ht="34.5" thickBot="1" x14ac:dyDescent="0.3">
      <c r="A493" s="132" t="s">
        <v>80</v>
      </c>
      <c r="B493" s="133" t="s">
        <v>24</v>
      </c>
      <c r="C493" s="134" t="s">
        <v>917</v>
      </c>
      <c r="D493" s="134" t="s">
        <v>918</v>
      </c>
      <c r="E493" s="134" t="s">
        <v>381</v>
      </c>
      <c r="F493" s="134" t="s">
        <v>380</v>
      </c>
      <c r="G493" s="135">
        <v>799836.23</v>
      </c>
      <c r="I493" s="139" t="s">
        <v>90</v>
      </c>
      <c r="J493" s="139" t="s">
        <v>89</v>
      </c>
      <c r="K493" s="306" t="s">
        <v>803</v>
      </c>
      <c r="L493" s="306" t="s">
        <v>231</v>
      </c>
      <c r="M493" s="306" t="s">
        <v>481</v>
      </c>
      <c r="N493" s="306" t="s">
        <v>482</v>
      </c>
      <c r="O493" s="307">
        <v>6734.28</v>
      </c>
      <c r="P493" s="309"/>
    </row>
    <row r="494" spans="1:16" ht="34.5" thickBot="1" x14ac:dyDescent="0.3">
      <c r="A494" s="132" t="s">
        <v>80</v>
      </c>
      <c r="B494" s="133" t="s">
        <v>24</v>
      </c>
      <c r="C494" s="134" t="s">
        <v>917</v>
      </c>
      <c r="D494" s="134" t="s">
        <v>918</v>
      </c>
      <c r="E494" s="352" t="s">
        <v>64</v>
      </c>
      <c r="F494" s="353"/>
      <c r="G494" s="137">
        <v>799836.23</v>
      </c>
      <c r="I494" s="139" t="s">
        <v>90</v>
      </c>
      <c r="J494" s="139" t="s">
        <v>89</v>
      </c>
      <c r="K494" s="306" t="s">
        <v>803</v>
      </c>
      <c r="L494" s="306" t="s">
        <v>231</v>
      </c>
      <c r="M494" s="306" t="s">
        <v>917</v>
      </c>
      <c r="N494" s="306" t="s">
        <v>1016</v>
      </c>
      <c r="O494" s="135">
        <f>282245.44-O481</f>
        <v>2083</v>
      </c>
      <c r="P494" s="309"/>
    </row>
    <row r="495" spans="1:16" ht="45.75" thickBot="1" x14ac:dyDescent="0.3">
      <c r="A495" s="132" t="s">
        <v>80</v>
      </c>
      <c r="B495" s="133" t="s">
        <v>24</v>
      </c>
      <c r="C495" s="134" t="s">
        <v>481</v>
      </c>
      <c r="D495" s="134" t="s">
        <v>910</v>
      </c>
      <c r="E495" s="134" t="s">
        <v>381</v>
      </c>
      <c r="F495" s="134" t="s">
        <v>380</v>
      </c>
      <c r="G495" s="135">
        <v>147.52000000000001</v>
      </c>
      <c r="I495" s="139" t="s">
        <v>90</v>
      </c>
      <c r="J495" s="139" t="s">
        <v>89</v>
      </c>
      <c r="K495" s="306" t="s">
        <v>803</v>
      </c>
      <c r="L495" s="306" t="s">
        <v>231</v>
      </c>
      <c r="M495" s="306" t="s">
        <v>486</v>
      </c>
      <c r="N495" s="306" t="s">
        <v>487</v>
      </c>
      <c r="O495" s="307">
        <f>48215.45-O489</f>
        <v>638.39999999999418</v>
      </c>
      <c r="P495" s="309"/>
    </row>
    <row r="496" spans="1:16" ht="45.75" thickBot="1" x14ac:dyDescent="0.3">
      <c r="A496" s="132" t="s">
        <v>80</v>
      </c>
      <c r="B496" s="133" t="s">
        <v>24</v>
      </c>
      <c r="C496" s="134" t="s">
        <v>481</v>
      </c>
      <c r="D496" s="134" t="s">
        <v>910</v>
      </c>
      <c r="E496" s="352" t="s">
        <v>64</v>
      </c>
      <c r="F496" s="353"/>
      <c r="G496" s="137">
        <v>147.52000000000001</v>
      </c>
      <c r="I496" s="139" t="s">
        <v>90</v>
      </c>
      <c r="J496" s="139" t="s">
        <v>89</v>
      </c>
      <c r="K496" s="315" t="s">
        <v>64</v>
      </c>
      <c r="L496" s="316"/>
      <c r="M496" s="316"/>
      <c r="N496" s="317"/>
      <c r="O496" s="308">
        <v>2981457.37</v>
      </c>
      <c r="P496" s="309"/>
    </row>
    <row r="497" spans="1:13" ht="15.75" thickBot="1" x14ac:dyDescent="0.3">
      <c r="A497" s="132" t="s">
        <v>80</v>
      </c>
      <c r="B497" s="133" t="s">
        <v>24</v>
      </c>
      <c r="C497" s="352" t="s">
        <v>64</v>
      </c>
      <c r="D497" s="354"/>
      <c r="E497" s="354"/>
      <c r="F497" s="353"/>
      <c r="G497" s="137">
        <v>799983.75</v>
      </c>
    </row>
    <row r="500" spans="1:13" ht="15.75" thickBot="1" x14ac:dyDescent="0.3">
      <c r="A500" s="80" t="s">
        <v>931</v>
      </c>
      <c r="B500" s="250"/>
      <c r="C500" s="250"/>
      <c r="D500" s="250"/>
      <c r="E500" s="250"/>
      <c r="F500" s="250"/>
      <c r="G500" s="250"/>
      <c r="H500" s="250"/>
      <c r="I500" s="250"/>
    </row>
    <row r="501" spans="1:13" ht="15.75" thickBot="1" x14ac:dyDescent="0.3">
      <c r="A501" s="347"/>
      <c r="B501" s="348"/>
      <c r="C501" s="349"/>
      <c r="D501" s="140"/>
      <c r="E501" s="134" t="s">
        <v>95</v>
      </c>
      <c r="F501" s="250" t="s">
        <v>583</v>
      </c>
      <c r="G501" s="250" t="s">
        <v>582</v>
      </c>
      <c r="H501" s="250"/>
      <c r="I501" s="250"/>
    </row>
    <row r="502" spans="1:13" ht="15.75" thickBot="1" x14ac:dyDescent="0.3">
      <c r="A502" s="350" t="s">
        <v>94</v>
      </c>
      <c r="B502" s="351"/>
      <c r="C502" s="134" t="s">
        <v>92</v>
      </c>
      <c r="D502" s="141"/>
      <c r="E502" s="140" t="s">
        <v>91</v>
      </c>
      <c r="F502" s="250">
        <v>0.20338808007784615</v>
      </c>
      <c r="G502" s="151">
        <f>1-F502</f>
        <v>0.79661191992215385</v>
      </c>
      <c r="H502" s="250"/>
      <c r="I502" s="250"/>
    </row>
    <row r="503" spans="1:13" ht="15.75" thickBot="1" x14ac:dyDescent="0.3">
      <c r="A503" s="139" t="s">
        <v>550</v>
      </c>
      <c r="B503" s="139" t="s">
        <v>549</v>
      </c>
      <c r="C503" s="134" t="s">
        <v>574</v>
      </c>
      <c r="D503" s="134" t="s">
        <v>573</v>
      </c>
      <c r="E503" s="136">
        <v>1595541.75</v>
      </c>
      <c r="F503" s="250"/>
      <c r="G503" s="250"/>
      <c r="H503" s="250"/>
      <c r="I503" s="250"/>
    </row>
    <row r="504" spans="1:13" ht="23.25" thickBot="1" x14ac:dyDescent="0.3">
      <c r="A504" s="139" t="s">
        <v>550</v>
      </c>
      <c r="B504" s="139" t="s">
        <v>549</v>
      </c>
      <c r="C504" s="134" t="s">
        <v>562</v>
      </c>
      <c r="D504" s="134" t="s">
        <v>921</v>
      </c>
      <c r="E504" s="135">
        <v>1655.06</v>
      </c>
      <c r="F504" s="250"/>
      <c r="G504" s="250"/>
      <c r="H504" s="250"/>
      <c r="I504" s="250"/>
    </row>
    <row r="505" spans="1:13" ht="34.5" thickBot="1" x14ac:dyDescent="0.3">
      <c r="A505" s="139" t="s">
        <v>550</v>
      </c>
      <c r="B505" s="139" t="s">
        <v>549</v>
      </c>
      <c r="C505" s="134" t="s">
        <v>566</v>
      </c>
      <c r="D505" s="134" t="s">
        <v>922</v>
      </c>
      <c r="E505" s="136">
        <v>71.599999999999994</v>
      </c>
      <c r="F505" s="250"/>
      <c r="G505" s="250"/>
      <c r="H505" s="250"/>
      <c r="I505" s="250"/>
    </row>
    <row r="506" spans="1:13" ht="23.25" thickBot="1" x14ac:dyDescent="0.3">
      <c r="A506" s="139" t="s">
        <v>550</v>
      </c>
      <c r="B506" s="139" t="s">
        <v>549</v>
      </c>
      <c r="C506" s="134" t="s">
        <v>580</v>
      </c>
      <c r="D506" s="134" t="s">
        <v>579</v>
      </c>
      <c r="E506" s="135">
        <v>-4891.62</v>
      </c>
      <c r="F506" s="250"/>
      <c r="G506" s="250"/>
      <c r="H506" s="250"/>
      <c r="I506" s="250"/>
      <c r="J506" s="250"/>
      <c r="K506" s="250"/>
      <c r="L506" s="250"/>
      <c r="M506" s="250"/>
    </row>
    <row r="507" spans="1:13" ht="15.75" thickBot="1" x14ac:dyDescent="0.3">
      <c r="A507" s="139" t="s">
        <v>550</v>
      </c>
      <c r="B507" s="139" t="s">
        <v>549</v>
      </c>
      <c r="C507" s="134" t="s">
        <v>572</v>
      </c>
      <c r="D507" s="134" t="s">
        <v>571</v>
      </c>
      <c r="E507" s="136">
        <v>-8803.3799999999992</v>
      </c>
      <c r="F507" s="250"/>
      <c r="G507" s="250"/>
      <c r="H507" s="250"/>
      <c r="I507" s="250"/>
      <c r="J507" s="250"/>
      <c r="K507" s="250"/>
      <c r="L507" s="250"/>
      <c r="M507" s="250"/>
    </row>
    <row r="508" spans="1:13" ht="34.5" thickBot="1" x14ac:dyDescent="0.3">
      <c r="A508" s="139" t="s">
        <v>550</v>
      </c>
      <c r="B508" s="139" t="s">
        <v>549</v>
      </c>
      <c r="C508" s="134" t="s">
        <v>923</v>
      </c>
      <c r="D508" s="134" t="s">
        <v>924</v>
      </c>
      <c r="E508" s="135">
        <v>0</v>
      </c>
      <c r="F508" s="250"/>
      <c r="G508" s="250"/>
      <c r="H508" s="250"/>
      <c r="I508" s="250"/>
      <c r="J508" s="250"/>
      <c r="K508" s="250"/>
      <c r="L508" s="250"/>
      <c r="M508" s="250"/>
    </row>
    <row r="509" spans="1:13" ht="57" thickBot="1" x14ac:dyDescent="0.3">
      <c r="A509" s="139" t="s">
        <v>550</v>
      </c>
      <c r="B509" s="139" t="s">
        <v>549</v>
      </c>
      <c r="C509" s="134" t="s">
        <v>925</v>
      </c>
      <c r="D509" s="134" t="s">
        <v>926</v>
      </c>
      <c r="E509" s="136">
        <v>5857</v>
      </c>
      <c r="F509" s="250"/>
      <c r="G509" s="250"/>
      <c r="H509" s="250"/>
      <c r="I509" s="250"/>
      <c r="J509" s="250"/>
      <c r="K509" s="250"/>
      <c r="L509" s="250"/>
      <c r="M509" s="250"/>
    </row>
    <row r="510" spans="1:13" ht="57" thickBot="1" x14ac:dyDescent="0.3">
      <c r="A510" s="139" t="s">
        <v>550</v>
      </c>
      <c r="B510" s="139" t="s">
        <v>549</v>
      </c>
      <c r="C510" s="134" t="s">
        <v>570</v>
      </c>
      <c r="D510" s="134" t="s">
        <v>927</v>
      </c>
      <c r="E510" s="135">
        <v>88</v>
      </c>
      <c r="F510" s="250"/>
      <c r="G510" s="250"/>
      <c r="H510" s="250"/>
      <c r="I510" s="250"/>
      <c r="J510" s="250"/>
      <c r="K510" s="250"/>
      <c r="L510" s="250"/>
      <c r="M510" s="250"/>
    </row>
    <row r="511" spans="1:13" ht="34.5" thickBot="1" x14ac:dyDescent="0.3">
      <c r="A511" s="139" t="s">
        <v>550</v>
      </c>
      <c r="B511" s="139" t="s">
        <v>549</v>
      </c>
      <c r="C511" s="134" t="s">
        <v>928</v>
      </c>
      <c r="D511" s="134" t="s">
        <v>929</v>
      </c>
      <c r="E511" s="136">
        <v>5000</v>
      </c>
      <c r="F511" s="250"/>
      <c r="G511" s="250"/>
      <c r="H511" s="250"/>
      <c r="I511" s="250"/>
      <c r="J511" s="250"/>
      <c r="K511" s="250"/>
      <c r="L511" s="250"/>
      <c r="M511" s="250"/>
    </row>
    <row r="512" spans="1:13" ht="34.5" thickBot="1" x14ac:dyDescent="0.3">
      <c r="A512" s="139" t="s">
        <v>550</v>
      </c>
      <c r="B512" s="139" t="s">
        <v>549</v>
      </c>
      <c r="C512" s="134" t="s">
        <v>85</v>
      </c>
      <c r="D512" s="134" t="s">
        <v>598</v>
      </c>
      <c r="E512" s="135">
        <v>5008.79</v>
      </c>
      <c r="F512" s="250"/>
      <c r="G512" s="250"/>
      <c r="H512" s="250"/>
      <c r="I512" s="250"/>
      <c r="J512" s="250"/>
      <c r="K512" s="250"/>
      <c r="L512" s="250"/>
      <c r="M512" s="250"/>
    </row>
    <row r="513" spans="1:14" ht="45.75" thickBot="1" x14ac:dyDescent="0.3">
      <c r="A513" s="139" t="s">
        <v>550</v>
      </c>
      <c r="B513" s="139" t="s">
        <v>549</v>
      </c>
      <c r="C513" s="134" t="s">
        <v>576</v>
      </c>
      <c r="D513" s="134" t="s">
        <v>930</v>
      </c>
      <c r="E513" s="136">
        <v>5098</v>
      </c>
      <c r="F513" s="250"/>
      <c r="G513" s="250"/>
      <c r="H513" s="250"/>
      <c r="I513" s="250"/>
      <c r="J513" s="250"/>
      <c r="K513" s="295"/>
      <c r="L513" s="295"/>
      <c r="M513" s="295"/>
      <c r="N513" s="295"/>
    </row>
    <row r="514" spans="1:14" ht="15.75" thickBot="1" x14ac:dyDescent="0.3">
      <c r="A514" s="139" t="s">
        <v>550</v>
      </c>
      <c r="B514" s="139" t="s">
        <v>549</v>
      </c>
      <c r="C514" s="352" t="s">
        <v>64</v>
      </c>
      <c r="D514" s="353"/>
      <c r="E514" s="137">
        <f>1604625.2-E512</f>
        <v>1599616.41</v>
      </c>
      <c r="F514" s="2">
        <f>+G514-E514</f>
        <v>408408.28809429542</v>
      </c>
      <c r="G514" s="2">
        <f>+E514/G502</f>
        <v>2008024.6980942953</v>
      </c>
      <c r="H514" s="250"/>
      <c r="I514" s="250"/>
      <c r="J514" s="250"/>
      <c r="K514" s="295"/>
      <c r="L514" s="295"/>
      <c r="M514" s="295"/>
      <c r="N514" s="295"/>
    </row>
    <row r="515" spans="1:14" x14ac:dyDescent="0.25">
      <c r="A515" s="250"/>
      <c r="B515" s="250"/>
      <c r="C515" s="250"/>
      <c r="D515" s="250"/>
      <c r="E515" s="250"/>
      <c r="F515" s="250"/>
      <c r="G515" s="250"/>
      <c r="H515" s="250"/>
      <c r="I515" s="250"/>
      <c r="J515" s="250"/>
      <c r="K515" s="142"/>
      <c r="L515" s="142"/>
      <c r="M515" s="142"/>
    </row>
    <row r="516" spans="1:14" x14ac:dyDescent="0.25">
      <c r="A516" s="80" t="s">
        <v>587</v>
      </c>
      <c r="B516" s="250"/>
      <c r="C516" s="250"/>
      <c r="D516" s="250"/>
      <c r="E516" s="250"/>
      <c r="F516" s="250"/>
      <c r="G516" s="250"/>
      <c r="H516" s="250"/>
      <c r="I516" s="250"/>
      <c r="J516" s="250"/>
      <c r="K516" s="250" t="s">
        <v>747</v>
      </c>
      <c r="L516" s="250">
        <f>1+1.33/100</f>
        <v>1.0133000000000001</v>
      </c>
      <c r="M516" s="250"/>
    </row>
    <row r="517" spans="1:14" ht="15.75" thickBot="1" x14ac:dyDescent="0.3">
      <c r="A517" s="80"/>
      <c r="B517" s="250"/>
      <c r="C517" s="250"/>
      <c r="D517" s="230"/>
      <c r="E517" s="230"/>
      <c r="F517" s="230"/>
      <c r="G517" s="250"/>
      <c r="H517" s="250"/>
      <c r="I517" s="250"/>
      <c r="J517" s="250"/>
      <c r="K517" s="250" t="s">
        <v>932</v>
      </c>
      <c r="L517" s="250">
        <f>1+2.718/100</f>
        <v>1.02718</v>
      </c>
      <c r="M517" s="250"/>
    </row>
    <row r="518" spans="1:14" ht="15.75" thickBot="1" x14ac:dyDescent="0.3">
      <c r="A518" s="213"/>
      <c r="B518" s="140"/>
      <c r="C518" s="134" t="s">
        <v>95</v>
      </c>
      <c r="D518" s="250" t="s">
        <v>583</v>
      </c>
      <c r="E518" s="250" t="s">
        <v>582</v>
      </c>
      <c r="F518" s="250"/>
      <c r="G518" s="250"/>
      <c r="H518" s="250"/>
      <c r="I518" s="250"/>
      <c r="J518" s="250"/>
      <c r="K518" s="80">
        <v>2018</v>
      </c>
      <c r="L518" s="80">
        <v>2019</v>
      </c>
      <c r="M518" s="80">
        <v>2020</v>
      </c>
    </row>
    <row r="519" spans="1:14" ht="15.75" thickBot="1" x14ac:dyDescent="0.3">
      <c r="A519" s="134" t="s">
        <v>94</v>
      </c>
      <c r="B519" s="141"/>
      <c r="C519" s="140" t="s">
        <v>91</v>
      </c>
      <c r="D519" s="250">
        <v>0.20338808007784617</v>
      </c>
      <c r="E519" s="151">
        <f>1-D519</f>
        <v>0.79661191992215385</v>
      </c>
      <c r="F519" s="250"/>
      <c r="G519" s="250"/>
      <c r="H519" s="250"/>
      <c r="I519" s="250"/>
      <c r="J519" s="250" t="s">
        <v>743</v>
      </c>
      <c r="K519" s="142">
        <v>57683.453261767143</v>
      </c>
      <c r="L519" s="142">
        <f t="shared" ref="L519:M522" si="0">+K519*$L$516</f>
        <v>58450.64319014865</v>
      </c>
      <c r="M519" s="142">
        <f t="shared" si="0"/>
        <v>59228.036744577636</v>
      </c>
    </row>
    <row r="520" spans="1:14" ht="23.25" thickBot="1" x14ac:dyDescent="0.3">
      <c r="A520" s="139" t="s">
        <v>586</v>
      </c>
      <c r="B520" s="139" t="s">
        <v>584</v>
      </c>
      <c r="C520" s="136">
        <v>7240693.8600000003</v>
      </c>
      <c r="D520" s="250"/>
      <c r="E520" s="250"/>
      <c r="F520" s="250"/>
      <c r="G520" s="250"/>
      <c r="H520" s="250"/>
      <c r="I520" s="250"/>
      <c r="J520" s="250" t="s">
        <v>744</v>
      </c>
      <c r="K520" s="142">
        <v>978637.23845410615</v>
      </c>
      <c r="L520" s="142">
        <f t="shared" si="0"/>
        <v>991653.11372554582</v>
      </c>
      <c r="M520" s="142">
        <f t="shared" si="0"/>
        <v>1004842.1001380957</v>
      </c>
    </row>
    <row r="521" spans="1:14" ht="23.25" thickBot="1" x14ac:dyDescent="0.3">
      <c r="A521" s="132" t="s">
        <v>585</v>
      </c>
      <c r="B521" s="133" t="s">
        <v>584</v>
      </c>
      <c r="C521" s="135">
        <v>7240693.8600000003</v>
      </c>
      <c r="D521" s="250"/>
      <c r="E521" s="250"/>
      <c r="F521" s="250"/>
      <c r="G521" s="250"/>
      <c r="H521" s="250"/>
      <c r="I521" s="250"/>
      <c r="J521" s="235" t="s">
        <v>745</v>
      </c>
      <c r="K521" s="142">
        <v>1412244.6734972675</v>
      </c>
      <c r="L521" s="142">
        <f t="shared" si="0"/>
        <v>1431027.5276547812</v>
      </c>
      <c r="M521" s="142">
        <f t="shared" si="0"/>
        <v>1450060.19377259</v>
      </c>
    </row>
    <row r="522" spans="1:14" ht="15.75" thickBot="1" x14ac:dyDescent="0.3">
      <c r="A522" s="139" t="s">
        <v>723</v>
      </c>
      <c r="B522" s="139" t="s">
        <v>724</v>
      </c>
      <c r="C522" s="136">
        <f>+M519</f>
        <v>59228.036744577636</v>
      </c>
      <c r="D522" s="250"/>
      <c r="E522" s="250"/>
      <c r="F522" s="250"/>
      <c r="G522" s="250"/>
      <c r="H522" s="250"/>
      <c r="I522" s="250"/>
      <c r="J522" s="235" t="s">
        <v>746</v>
      </c>
      <c r="K522" s="142">
        <v>1758737.7585492225</v>
      </c>
      <c r="L522" s="142">
        <f t="shared" si="0"/>
        <v>1782128.9707379274</v>
      </c>
      <c r="M522" s="142">
        <f t="shared" si="0"/>
        <v>1805831.286048742</v>
      </c>
    </row>
    <row r="523" spans="1:14" x14ac:dyDescent="0.25">
      <c r="A523" s="238" t="s">
        <v>725</v>
      </c>
      <c r="B523" s="238" t="s">
        <v>726</v>
      </c>
      <c r="C523" s="239">
        <f>+M520</f>
        <v>1004842.1001380957</v>
      </c>
      <c r="D523" s="250"/>
      <c r="E523" s="250"/>
      <c r="F523" s="250"/>
      <c r="G523" s="250"/>
      <c r="H523" s="250"/>
      <c r="I523" s="250"/>
      <c r="J523" s="235"/>
      <c r="K523" s="142">
        <f>SUM(K519:K522)</f>
        <v>4207303.1237623636</v>
      </c>
      <c r="L523" s="142">
        <f>SUM(L519:L522)</f>
        <v>4263260.2553084036</v>
      </c>
      <c r="M523" s="142">
        <f>SUM(M519:M522)</f>
        <v>4319961.6167040057</v>
      </c>
    </row>
    <row r="524" spans="1:14" ht="15.75" thickBot="1" x14ac:dyDescent="0.3">
      <c r="A524" s="242"/>
      <c r="B524" s="242"/>
      <c r="C524" s="243">
        <f>+C522+C523</f>
        <v>1064070.1368826733</v>
      </c>
      <c r="D524" s="250"/>
      <c r="E524" s="250"/>
      <c r="F524" s="250"/>
      <c r="G524" s="250"/>
      <c r="H524" s="250"/>
      <c r="I524" s="250"/>
      <c r="J524" s="235"/>
      <c r="K524" s="142"/>
      <c r="L524" s="142"/>
      <c r="M524" s="250"/>
    </row>
    <row r="525" spans="1:14" ht="34.5" thickBot="1" x14ac:dyDescent="0.3">
      <c r="A525" s="240" t="s">
        <v>748</v>
      </c>
      <c r="B525" s="241" t="s">
        <v>749</v>
      </c>
      <c r="C525" s="135">
        <f>+M521</f>
        <v>1450060.19377259</v>
      </c>
      <c r="D525" s="250"/>
      <c r="E525" s="250"/>
      <c r="F525" s="250"/>
      <c r="G525" s="250"/>
      <c r="H525" s="250"/>
      <c r="I525" s="250"/>
      <c r="J525" s="235"/>
      <c r="K525" s="250"/>
      <c r="L525" s="250"/>
      <c r="M525" s="250"/>
    </row>
    <row r="526" spans="1:14" ht="34.5" thickBot="1" x14ac:dyDescent="0.3">
      <c r="A526" s="228" t="s">
        <v>591</v>
      </c>
      <c r="B526" s="214" t="s">
        <v>592</v>
      </c>
      <c r="C526" s="136">
        <f>+M522</f>
        <v>1805831.286048742</v>
      </c>
      <c r="D526" s="250"/>
      <c r="E526" s="250"/>
      <c r="F526" s="250"/>
      <c r="G526" s="250"/>
      <c r="H526" s="250"/>
      <c r="I526" s="250"/>
      <c r="J526" s="235"/>
      <c r="K526" s="250"/>
      <c r="L526" s="250"/>
      <c r="M526" s="250"/>
    </row>
    <row r="527" spans="1:14" ht="15.75" thickBot="1" x14ac:dyDescent="0.3">
      <c r="A527" s="250"/>
      <c r="B527" s="250"/>
      <c r="C527" s="250"/>
      <c r="D527" s="250"/>
      <c r="E527" s="250"/>
      <c r="F527" s="250"/>
      <c r="G527" s="250"/>
      <c r="H527" s="250"/>
      <c r="I527" s="250"/>
      <c r="J527" s="235"/>
      <c r="K527" s="250"/>
      <c r="L527" s="250"/>
      <c r="M527" s="250"/>
    </row>
    <row r="528" spans="1:14" ht="34.5" thickBot="1" x14ac:dyDescent="0.3">
      <c r="A528" s="132" t="s">
        <v>54</v>
      </c>
      <c r="B528" s="133" t="s">
        <v>55</v>
      </c>
      <c r="C528" s="134" t="s">
        <v>593</v>
      </c>
      <c r="D528" s="134" t="s">
        <v>594</v>
      </c>
      <c r="E528" s="136">
        <v>82622.73</v>
      </c>
      <c r="F528" s="250"/>
      <c r="G528" s="250"/>
      <c r="H528" s="250"/>
      <c r="I528" s="250"/>
      <c r="J528" s="250"/>
      <c r="K528" s="250"/>
      <c r="L528" s="250"/>
      <c r="M528" s="250"/>
    </row>
    <row r="529" spans="1:13" ht="15.75" thickBot="1" x14ac:dyDescent="0.3">
      <c r="A529" s="132" t="s">
        <v>54</v>
      </c>
      <c r="B529" s="133" t="s">
        <v>55</v>
      </c>
      <c r="C529" s="352" t="s">
        <v>64</v>
      </c>
      <c r="D529" s="353"/>
      <c r="E529" s="137">
        <v>82622.73</v>
      </c>
      <c r="F529" s="250"/>
      <c r="G529" s="250"/>
      <c r="H529" s="250"/>
      <c r="I529" s="250"/>
      <c r="J529" s="250"/>
      <c r="K529" s="250"/>
      <c r="L529" s="250"/>
      <c r="M529" s="250"/>
    </row>
    <row r="530" spans="1:13" x14ac:dyDescent="0.25">
      <c r="A530" s="250"/>
      <c r="B530" s="250"/>
      <c r="C530" s="250"/>
      <c r="D530" s="250"/>
      <c r="E530" s="250"/>
      <c r="F530" s="250"/>
      <c r="G530" s="250"/>
      <c r="H530" s="250"/>
      <c r="I530" s="250"/>
      <c r="J530" s="250"/>
      <c r="K530" s="250"/>
      <c r="L530" s="250"/>
      <c r="M530" s="250"/>
    </row>
    <row r="531" spans="1:13" x14ac:dyDescent="0.25">
      <c r="A531" s="250"/>
      <c r="B531" s="250"/>
      <c r="C531" s="250"/>
      <c r="D531" s="250"/>
      <c r="E531" s="250"/>
      <c r="F531" s="250"/>
      <c r="G531" s="250"/>
      <c r="H531" s="250"/>
      <c r="I531" s="250"/>
      <c r="J531" s="250"/>
      <c r="K531" s="250"/>
      <c r="L531" s="250"/>
      <c r="M531" s="250"/>
    </row>
    <row r="532" spans="1:13" x14ac:dyDescent="0.25">
      <c r="A532" s="250"/>
      <c r="B532" s="250"/>
      <c r="C532" s="250"/>
      <c r="D532" s="250"/>
      <c r="E532" s="250"/>
      <c r="F532" s="250"/>
      <c r="G532" s="250"/>
      <c r="H532" s="250"/>
      <c r="I532" s="250"/>
      <c r="J532" s="250"/>
      <c r="K532" s="250"/>
      <c r="L532" s="250"/>
      <c r="M532" s="250"/>
    </row>
    <row r="533" spans="1:13" ht="15.75" thickBot="1" x14ac:dyDescent="0.3">
      <c r="A533" s="250"/>
      <c r="B533" s="250"/>
      <c r="C533" s="250"/>
      <c r="D533" s="250"/>
      <c r="E533" s="2">
        <f>+C521+E529+C524+C525+C526</f>
        <v>11643278.206704006</v>
      </c>
      <c r="F533" s="2">
        <f>+G533-E533</f>
        <v>2972719.7661129273</v>
      </c>
      <c r="G533" s="231">
        <f>+(C521+E529+C524+C525+C526)/E519</f>
        <v>14615997.972816933</v>
      </c>
      <c r="H533" s="250"/>
      <c r="I533" s="250"/>
      <c r="J533" s="250"/>
      <c r="K533" s="250"/>
      <c r="L533" s="250"/>
      <c r="M533" s="250"/>
    </row>
    <row r="534" spans="1:13" x14ac:dyDescent="0.25">
      <c r="A534" s="250"/>
      <c r="B534" s="250"/>
      <c r="C534" s="250"/>
      <c r="D534" s="250"/>
      <c r="E534" s="250"/>
      <c r="F534" s="250"/>
      <c r="G534" s="250"/>
      <c r="H534" s="250"/>
      <c r="I534" s="250"/>
      <c r="J534" s="250"/>
      <c r="K534" s="250"/>
      <c r="L534" s="250"/>
      <c r="M534" s="250"/>
    </row>
    <row r="535" spans="1:13" x14ac:dyDescent="0.25">
      <c r="A535" s="250"/>
      <c r="B535" s="250"/>
      <c r="C535" s="250"/>
      <c r="D535" s="250"/>
      <c r="E535" s="250"/>
      <c r="F535" s="250"/>
      <c r="G535" s="250"/>
      <c r="H535" s="250"/>
      <c r="I535" s="250"/>
      <c r="J535" s="250"/>
      <c r="K535" s="250"/>
      <c r="L535" s="250"/>
      <c r="M535" s="250"/>
    </row>
    <row r="536" spans="1:13" x14ac:dyDescent="0.25">
      <c r="A536" s="80" t="s">
        <v>590</v>
      </c>
      <c r="B536" s="250"/>
      <c r="C536" s="250"/>
      <c r="D536" s="250"/>
      <c r="E536" s="250"/>
      <c r="F536" s="250"/>
      <c r="G536" s="250"/>
      <c r="H536" s="250"/>
      <c r="I536" s="250"/>
      <c r="J536" s="250"/>
      <c r="K536" s="250"/>
      <c r="L536" s="250"/>
      <c r="M536" s="250"/>
    </row>
    <row r="537" spans="1:13" ht="15.75" thickBot="1" x14ac:dyDescent="0.3">
      <c r="A537" s="250"/>
      <c r="B537" s="250"/>
      <c r="C537" s="250"/>
      <c r="D537" s="250" t="s">
        <v>583</v>
      </c>
      <c r="E537" s="250" t="s">
        <v>582</v>
      </c>
      <c r="F537" s="250"/>
      <c r="G537" s="250"/>
      <c r="H537" s="250"/>
      <c r="I537" s="250"/>
      <c r="J537" s="250"/>
      <c r="K537" s="250"/>
      <c r="L537" s="250"/>
      <c r="M537" s="250"/>
    </row>
    <row r="538" spans="1:13" ht="15.75" thickBot="1" x14ac:dyDescent="0.3">
      <c r="A538" s="213"/>
      <c r="B538" s="140"/>
      <c r="C538" s="134" t="s">
        <v>95</v>
      </c>
      <c r="D538" s="336">
        <v>0.20505954414382555</v>
      </c>
      <c r="E538" s="151">
        <f>1-D538</f>
        <v>0.79494045585617445</v>
      </c>
      <c r="F538" s="250"/>
      <c r="G538" s="250"/>
      <c r="H538" s="250"/>
      <c r="I538" s="250"/>
      <c r="J538" s="250"/>
      <c r="K538" s="250"/>
      <c r="L538" s="250"/>
      <c r="M538" s="250"/>
    </row>
    <row r="539" spans="1:13" ht="15.75" thickBot="1" x14ac:dyDescent="0.3">
      <c r="A539" s="134" t="s">
        <v>94</v>
      </c>
      <c r="B539" s="141"/>
      <c r="C539" s="140" t="s">
        <v>91</v>
      </c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</row>
    <row r="540" spans="1:13" ht="15.75" thickBot="1" x14ac:dyDescent="0.3">
      <c r="A540" s="139" t="s">
        <v>589</v>
      </c>
      <c r="B540" s="139" t="s">
        <v>588</v>
      </c>
      <c r="C540" s="136">
        <v>3708015.64</v>
      </c>
      <c r="D540" s="250"/>
      <c r="E540" s="250"/>
      <c r="F540" s="250"/>
      <c r="G540" s="250"/>
      <c r="H540" s="250"/>
      <c r="I540" s="250"/>
      <c r="J540" s="250"/>
      <c r="K540" s="250"/>
      <c r="L540" s="250"/>
      <c r="M540" s="250"/>
    </row>
    <row r="541" spans="1:13" x14ac:dyDescent="0.25">
      <c r="A541" s="250"/>
      <c r="B541" s="250"/>
      <c r="C541" s="250"/>
      <c r="D541" s="250"/>
      <c r="E541" s="250"/>
      <c r="F541" s="250"/>
      <c r="G541" s="250"/>
      <c r="H541" s="250"/>
      <c r="I541" s="250"/>
      <c r="J541" s="250"/>
      <c r="K541" s="250"/>
      <c r="L541" s="250"/>
      <c r="M541" s="250"/>
    </row>
    <row r="542" spans="1:13" ht="15.75" thickBot="1" x14ac:dyDescent="0.3">
      <c r="A542" s="80" t="s">
        <v>651</v>
      </c>
      <c r="B542" s="250"/>
      <c r="C542" s="250"/>
      <c r="D542" s="250"/>
      <c r="E542" s="250"/>
      <c r="F542" s="250"/>
      <c r="G542" s="250"/>
      <c r="H542" s="250"/>
      <c r="I542" s="250"/>
      <c r="J542" s="250"/>
      <c r="K542" s="250"/>
      <c r="L542" s="250"/>
      <c r="M542" s="250"/>
    </row>
    <row r="543" spans="1:13" ht="15.75" thickBot="1" x14ac:dyDescent="0.3">
      <c r="A543" s="347"/>
      <c r="B543" s="348"/>
      <c r="C543" s="349"/>
      <c r="D543" s="140"/>
      <c r="E543" s="134" t="s">
        <v>95</v>
      </c>
      <c r="F543" s="151" t="s">
        <v>96</v>
      </c>
      <c r="G543" s="250" t="s">
        <v>933</v>
      </c>
      <c r="H543" s="250"/>
      <c r="I543" s="250"/>
      <c r="J543" s="250"/>
      <c r="K543" s="250"/>
      <c r="L543" s="250"/>
      <c r="M543" s="250"/>
    </row>
    <row r="544" spans="1:13" ht="15.75" thickBot="1" x14ac:dyDescent="0.3">
      <c r="A544" s="350" t="s">
        <v>105</v>
      </c>
      <c r="B544" s="351"/>
      <c r="C544" s="134" t="s">
        <v>94</v>
      </c>
      <c r="D544" s="141"/>
      <c r="E544" s="140" t="s">
        <v>91</v>
      </c>
      <c r="F544" s="250"/>
      <c r="G544" s="250"/>
      <c r="H544" s="250"/>
      <c r="I544" s="250"/>
      <c r="J544" s="250"/>
      <c r="K544" s="250"/>
      <c r="L544" s="250"/>
      <c r="M544" s="250"/>
    </row>
    <row r="545" spans="1:13" ht="34.5" thickBot="1" x14ac:dyDescent="0.3">
      <c r="A545" s="134" t="s">
        <v>106</v>
      </c>
      <c r="B545" s="134" t="s">
        <v>107</v>
      </c>
      <c r="C545" s="139" t="s">
        <v>591</v>
      </c>
      <c r="D545" s="139" t="s">
        <v>592</v>
      </c>
      <c r="E545" s="136">
        <v>29785489.5</v>
      </c>
      <c r="G545" s="2">
        <f>+E545-E554</f>
        <v>1888454.0160487369</v>
      </c>
      <c r="H545" s="1">
        <f>+E529+M522</f>
        <v>1888454.016048742</v>
      </c>
      <c r="I545" s="250"/>
      <c r="J545" s="250"/>
      <c r="K545" s="250"/>
      <c r="L545" s="250"/>
      <c r="M545" s="250"/>
    </row>
    <row r="546" spans="1:13" ht="23.25" thickBot="1" x14ac:dyDescent="0.3">
      <c r="A546" s="134" t="s">
        <v>106</v>
      </c>
      <c r="B546" s="134" t="s">
        <v>107</v>
      </c>
      <c r="C546" s="132" t="s">
        <v>650</v>
      </c>
      <c r="D546" s="133" t="s">
        <v>649</v>
      </c>
      <c r="E546" s="135"/>
      <c r="F546" s="250"/>
      <c r="G546" s="250"/>
      <c r="H546" s="250"/>
      <c r="I546" s="250"/>
      <c r="J546" s="250"/>
      <c r="K546" s="250"/>
      <c r="L546" s="250"/>
      <c r="M546" s="250"/>
    </row>
    <row r="547" spans="1:13" ht="23.25" thickBot="1" x14ac:dyDescent="0.3">
      <c r="A547" s="134" t="s">
        <v>106</v>
      </c>
      <c r="B547" s="134" t="s">
        <v>107</v>
      </c>
      <c r="C547" s="132" t="s">
        <v>648</v>
      </c>
      <c r="D547" s="133" t="s">
        <v>647</v>
      </c>
      <c r="E547" s="136">
        <f>SUM(E548:E552)</f>
        <v>25974489.233951263</v>
      </c>
      <c r="F547" s="250"/>
      <c r="G547" s="250"/>
      <c r="H547" s="250"/>
      <c r="I547" s="250"/>
      <c r="J547" s="250"/>
      <c r="K547" s="250"/>
      <c r="L547" s="250"/>
      <c r="M547" s="250"/>
    </row>
    <row r="548" spans="1:13" ht="23.25" thickBot="1" x14ac:dyDescent="0.3">
      <c r="A548" s="134" t="s">
        <v>106</v>
      </c>
      <c r="B548" s="134" t="s">
        <v>107</v>
      </c>
      <c r="C548" s="215" t="s">
        <v>646</v>
      </c>
      <c r="D548" s="214" t="s">
        <v>645</v>
      </c>
      <c r="E548" s="135">
        <f>18904312.46-M522</f>
        <v>17098481.173951261</v>
      </c>
      <c r="F548" s="250"/>
      <c r="G548" s="250"/>
      <c r="H548" s="250"/>
      <c r="I548" s="250"/>
      <c r="J548" s="250"/>
      <c r="K548" s="250"/>
      <c r="L548" s="250"/>
      <c r="M548" s="250"/>
    </row>
    <row r="549" spans="1:13" ht="23.25" thickBot="1" x14ac:dyDescent="0.3">
      <c r="A549" s="134" t="s">
        <v>106</v>
      </c>
      <c r="B549" s="134" t="s">
        <v>107</v>
      </c>
      <c r="C549" s="215" t="s">
        <v>644</v>
      </c>
      <c r="D549" s="214" t="s">
        <v>643</v>
      </c>
      <c r="E549" s="136">
        <v>3644581.75</v>
      </c>
      <c r="F549" s="2"/>
      <c r="G549" s="250"/>
      <c r="H549" s="250"/>
      <c r="I549" s="250"/>
      <c r="J549" s="250"/>
      <c r="K549" s="250"/>
      <c r="L549" s="250"/>
      <c r="M549" s="250"/>
    </row>
    <row r="550" spans="1:13" ht="23.25" thickBot="1" x14ac:dyDescent="0.3">
      <c r="A550" s="134" t="s">
        <v>106</v>
      </c>
      <c r="B550" s="134" t="s">
        <v>107</v>
      </c>
      <c r="C550" s="215" t="s">
        <v>642</v>
      </c>
      <c r="D550" s="214" t="s">
        <v>641</v>
      </c>
      <c r="E550" s="135">
        <v>243022.21</v>
      </c>
      <c r="F550" s="250"/>
      <c r="G550" s="250"/>
      <c r="H550" s="250"/>
      <c r="I550" s="250"/>
      <c r="J550" s="250"/>
      <c r="K550" s="250"/>
      <c r="L550" s="250"/>
      <c r="M550" s="250"/>
    </row>
    <row r="551" spans="1:13" ht="34.5" thickBot="1" x14ac:dyDescent="0.3">
      <c r="A551" s="134" t="s">
        <v>106</v>
      </c>
      <c r="B551" s="134" t="s">
        <v>107</v>
      </c>
      <c r="C551" s="215" t="s">
        <v>589</v>
      </c>
      <c r="D551" s="214" t="s">
        <v>588</v>
      </c>
      <c r="E551" s="136">
        <v>3708015.64</v>
      </c>
      <c r="F551" s="2">
        <f>+E551</f>
        <v>3708015.64</v>
      </c>
      <c r="G551" s="250" t="s">
        <v>712</v>
      </c>
      <c r="H551" s="250"/>
      <c r="I551" s="250"/>
      <c r="J551" s="250"/>
      <c r="K551" s="250"/>
      <c r="L551" s="250"/>
      <c r="M551" s="250"/>
    </row>
    <row r="552" spans="1:13" ht="23.25" thickBot="1" x14ac:dyDescent="0.3">
      <c r="A552" s="134" t="s">
        <v>106</v>
      </c>
      <c r="B552" s="134" t="s">
        <v>107</v>
      </c>
      <c r="C552" s="215" t="s">
        <v>640</v>
      </c>
      <c r="D552" s="214" t="s">
        <v>639</v>
      </c>
      <c r="E552" s="135">
        <v>1280388.46</v>
      </c>
      <c r="F552" s="250"/>
      <c r="G552" s="250"/>
      <c r="H552" s="250"/>
      <c r="I552" s="250"/>
      <c r="J552" s="250"/>
      <c r="K552" s="250"/>
      <c r="L552" s="250"/>
      <c r="M552" s="250"/>
    </row>
    <row r="553" spans="1:13" ht="23.25" thickBot="1" x14ac:dyDescent="0.3">
      <c r="A553" s="134" t="s">
        <v>106</v>
      </c>
      <c r="B553" s="134" t="s">
        <v>107</v>
      </c>
      <c r="C553" s="132" t="s">
        <v>638</v>
      </c>
      <c r="D553" s="133" t="s">
        <v>637</v>
      </c>
      <c r="E553" s="136">
        <f>2005168.98-E529</f>
        <v>1922546.25</v>
      </c>
      <c r="F553" s="250"/>
      <c r="G553" s="250"/>
      <c r="H553" s="250"/>
      <c r="I553" s="250"/>
      <c r="J553" s="250"/>
      <c r="K553" s="250"/>
      <c r="L553" s="250"/>
      <c r="M553" s="250"/>
    </row>
    <row r="554" spans="1:13" ht="15.75" thickBot="1" x14ac:dyDescent="0.3">
      <c r="A554" s="352" t="s">
        <v>104</v>
      </c>
      <c r="B554" s="354"/>
      <c r="C554" s="354"/>
      <c r="D554" s="353"/>
      <c r="E554" s="137">
        <f>+E553+E547+E546</f>
        <v>27897035.483951263</v>
      </c>
      <c r="F554" s="2">
        <f>+(E554-E551)*0.1</f>
        <v>2418901.9843951263</v>
      </c>
      <c r="G554" s="250" t="s">
        <v>713</v>
      </c>
      <c r="H554" s="250"/>
      <c r="I554" s="250"/>
      <c r="J554" s="250"/>
      <c r="K554" s="250"/>
      <c r="L554" s="250"/>
      <c r="M554" s="250"/>
    </row>
    <row r="555" spans="1:13" ht="33.75" x14ac:dyDescent="0.25">
      <c r="A555" s="250"/>
      <c r="B555" s="250"/>
      <c r="C555" s="250"/>
      <c r="D555" s="244" t="s">
        <v>750</v>
      </c>
      <c r="E555" s="237">
        <f>+E545-E554</f>
        <v>1888454.0160487369</v>
      </c>
      <c r="F555" s="250"/>
      <c r="G555" s="250"/>
      <c r="H555" s="250"/>
      <c r="I555" s="250"/>
      <c r="J555" s="250"/>
      <c r="K555" s="250"/>
      <c r="L555" s="250"/>
      <c r="M555" s="250"/>
    </row>
    <row r="556" spans="1:13" x14ac:dyDescent="0.25">
      <c r="A556" s="250"/>
      <c r="B556" s="250"/>
      <c r="C556" s="250"/>
      <c r="D556" s="250"/>
      <c r="E556" s="250"/>
      <c r="F556" s="250"/>
      <c r="G556" s="250"/>
      <c r="H556" s="250"/>
      <c r="I556" s="250"/>
      <c r="J556" s="250"/>
      <c r="K556" s="250"/>
      <c r="L556" s="250"/>
      <c r="M556" s="250"/>
    </row>
    <row r="557" spans="1:13" x14ac:dyDescent="0.25">
      <c r="A557" s="250"/>
      <c r="B557" s="250"/>
      <c r="C557" s="250"/>
      <c r="D557" s="250" t="s">
        <v>652</v>
      </c>
      <c r="E557" s="2">
        <f>+F551+F554</f>
        <v>6126917.6243951265</v>
      </c>
      <c r="F557" s="142">
        <f>+E557/E559*F559</f>
        <v>1580474.2679903905</v>
      </c>
      <c r="G557" s="2">
        <f>+F557+E557</f>
        <v>7707391.8923855172</v>
      </c>
      <c r="H557" s="250"/>
      <c r="I557" s="250"/>
      <c r="J557" s="250"/>
      <c r="K557" s="250"/>
      <c r="L557" s="250"/>
      <c r="M557" s="250"/>
    </row>
    <row r="558" spans="1:13" x14ac:dyDescent="0.25">
      <c r="A558" s="250"/>
      <c r="B558" s="250"/>
      <c r="C558" s="250"/>
      <c r="D558" s="250" t="s">
        <v>653</v>
      </c>
      <c r="E558" s="2">
        <f>+E554-F551-F554</f>
        <v>21770117.859556135</v>
      </c>
      <c r="F558" s="142">
        <f>+E558/E559*F559</f>
        <v>5615729.3434385471</v>
      </c>
      <c r="G558" s="2">
        <f>+F558+E558</f>
        <v>27385847.202994682</v>
      </c>
      <c r="H558" s="250"/>
      <c r="I558" s="250"/>
      <c r="J558" s="250"/>
      <c r="K558" s="250"/>
      <c r="L558" s="250"/>
      <c r="M558" s="250"/>
    </row>
    <row r="559" spans="1:13" ht="15.75" thickBot="1" x14ac:dyDescent="0.3">
      <c r="A559" s="250"/>
      <c r="B559" s="250"/>
      <c r="C559" s="250"/>
      <c r="D559" s="250"/>
      <c r="E559" s="231">
        <f>SUM(E557:E558)</f>
        <v>27897035.483951263</v>
      </c>
      <c r="F559" s="231">
        <f>+G559-E559</f>
        <v>7196203.6114289388</v>
      </c>
      <c r="G559" s="231">
        <f>+E559/E538</f>
        <v>35093239.095380202</v>
      </c>
      <c r="H559" s="250"/>
      <c r="I559" s="250"/>
      <c r="J559" s="250"/>
      <c r="K559" s="250"/>
      <c r="L559" s="250"/>
      <c r="M559" s="250"/>
    </row>
    <row r="560" spans="1:13" x14ac:dyDescent="0.25">
      <c r="A560" s="250"/>
      <c r="B560" s="250"/>
      <c r="C560" s="250"/>
      <c r="D560" s="250"/>
      <c r="E560" s="250"/>
      <c r="F560" s="250"/>
      <c r="G560" s="250"/>
      <c r="H560" s="250"/>
      <c r="I560" s="250"/>
      <c r="J560" s="250"/>
      <c r="K560" s="250"/>
      <c r="L560" s="250"/>
      <c r="M560" s="250"/>
    </row>
    <row r="561" spans="1:13" x14ac:dyDescent="0.25">
      <c r="A561" s="250"/>
      <c r="B561" s="250"/>
      <c r="C561" s="250"/>
      <c r="D561" s="250"/>
      <c r="E561" s="250"/>
      <c r="F561" s="250"/>
      <c r="G561" s="250"/>
      <c r="H561" s="250"/>
      <c r="I561" s="250"/>
      <c r="J561" s="250"/>
      <c r="K561" s="250"/>
      <c r="L561" s="250"/>
      <c r="M561" s="250"/>
    </row>
    <row r="562" spans="1:13" x14ac:dyDescent="0.25">
      <c r="A562" s="250"/>
      <c r="B562" s="250"/>
      <c r="C562" s="250"/>
      <c r="D562" s="250"/>
      <c r="E562" s="250"/>
      <c r="F562" s="250"/>
      <c r="G562" s="250"/>
      <c r="H562" s="250"/>
      <c r="I562" s="250"/>
      <c r="J562" s="250"/>
      <c r="K562" s="250"/>
      <c r="L562" s="250"/>
      <c r="M562" s="250"/>
    </row>
    <row r="563" spans="1:13" ht="15.75" thickBot="1" x14ac:dyDescent="0.3">
      <c r="A563" s="80" t="s">
        <v>661</v>
      </c>
      <c r="B563" s="250"/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</row>
    <row r="564" spans="1:13" ht="15.75" thickBot="1" x14ac:dyDescent="0.3">
      <c r="A564" s="347"/>
      <c r="B564" s="348"/>
      <c r="C564" s="349"/>
      <c r="D564" s="140"/>
      <c r="E564" s="134" t="s">
        <v>95</v>
      </c>
      <c r="F564" s="250"/>
      <c r="G564" s="250"/>
      <c r="H564" s="250"/>
      <c r="I564" s="250"/>
      <c r="J564" s="250"/>
      <c r="K564" s="250"/>
      <c r="L564" s="250"/>
      <c r="M564" s="250"/>
    </row>
    <row r="565" spans="1:13" ht="15.75" thickBot="1" x14ac:dyDescent="0.3">
      <c r="A565" s="350" t="s">
        <v>94</v>
      </c>
      <c r="B565" s="351"/>
      <c r="C565" s="134" t="s">
        <v>228</v>
      </c>
      <c r="D565" s="141"/>
      <c r="E565" s="140" t="s">
        <v>91</v>
      </c>
      <c r="F565" s="250"/>
      <c r="G565" s="250"/>
      <c r="H565" s="250"/>
      <c r="I565" s="250"/>
      <c r="J565" s="250"/>
      <c r="K565" s="250"/>
      <c r="L565" s="250"/>
      <c r="M565" s="250"/>
    </row>
    <row r="566" spans="1:13" ht="34.5" thickBot="1" x14ac:dyDescent="0.3">
      <c r="A566" s="139" t="s">
        <v>660</v>
      </c>
      <c r="B566" s="139" t="s">
        <v>659</v>
      </c>
      <c r="C566" s="134" t="s">
        <v>658</v>
      </c>
      <c r="D566" s="134" t="s">
        <v>657</v>
      </c>
      <c r="E566" s="136">
        <v>3416063.94</v>
      </c>
      <c r="F566" s="250"/>
      <c r="G566" s="250"/>
      <c r="H566" s="250"/>
      <c r="I566" s="250"/>
      <c r="J566" s="250"/>
      <c r="K566" s="250"/>
      <c r="L566" s="250"/>
      <c r="M566" s="250"/>
    </row>
    <row r="567" spans="1:13" ht="23.25" thickBot="1" x14ac:dyDescent="0.3">
      <c r="A567" s="139" t="s">
        <v>660</v>
      </c>
      <c r="B567" s="139" t="s">
        <v>659</v>
      </c>
      <c r="C567" s="352" t="s">
        <v>64</v>
      </c>
      <c r="D567" s="353"/>
      <c r="E567" s="137">
        <v>3416063.94</v>
      </c>
      <c r="F567" s="250"/>
      <c r="G567" s="250"/>
      <c r="H567" s="250"/>
      <c r="I567" s="250"/>
      <c r="J567" s="250"/>
      <c r="K567" s="250"/>
      <c r="L567" s="250"/>
      <c r="M567" s="250"/>
    </row>
    <row r="568" spans="1:13" ht="34.5" thickBot="1" x14ac:dyDescent="0.3">
      <c r="A568" s="132" t="s">
        <v>656</v>
      </c>
      <c r="B568" s="133" t="s">
        <v>655</v>
      </c>
      <c r="C568" s="134" t="s">
        <v>658</v>
      </c>
      <c r="D568" s="134" t="s">
        <v>657</v>
      </c>
      <c r="E568" s="136">
        <v>3416063.94</v>
      </c>
      <c r="F568" s="250"/>
      <c r="G568" s="250"/>
      <c r="H568" s="250"/>
      <c r="I568" s="250"/>
      <c r="J568" s="250"/>
      <c r="K568" s="250"/>
      <c r="L568" s="250"/>
      <c r="M568" s="250"/>
    </row>
    <row r="569" spans="1:13" ht="23.25" thickBot="1" x14ac:dyDescent="0.3">
      <c r="A569" s="132" t="s">
        <v>656</v>
      </c>
      <c r="B569" s="133" t="s">
        <v>655</v>
      </c>
      <c r="C569" s="352" t="s">
        <v>64</v>
      </c>
      <c r="D569" s="353"/>
      <c r="E569" s="137">
        <v>3416063.94</v>
      </c>
      <c r="F569" s="250"/>
      <c r="G569" s="250"/>
      <c r="H569" s="250"/>
      <c r="I569" s="250"/>
      <c r="J569" s="250"/>
      <c r="K569" s="250"/>
      <c r="L569" s="250"/>
      <c r="M569" s="250"/>
    </row>
    <row r="572" spans="1:13" ht="15.75" thickBot="1" x14ac:dyDescent="0.3">
      <c r="A572" s="80" t="s">
        <v>722</v>
      </c>
    </row>
    <row r="573" spans="1:13" ht="15.75" thickBot="1" x14ac:dyDescent="0.3">
      <c r="A573" s="347"/>
      <c r="B573" s="348"/>
      <c r="C573" s="349"/>
      <c r="D573" s="140"/>
      <c r="E573" s="134" t="s">
        <v>95</v>
      </c>
    </row>
    <row r="574" spans="1:13" ht="15.75" thickBot="1" x14ac:dyDescent="0.3">
      <c r="A574" s="350" t="s">
        <v>94</v>
      </c>
      <c r="B574" s="351"/>
      <c r="C574" s="134" t="s">
        <v>228</v>
      </c>
      <c r="D574" s="141"/>
      <c r="E574" s="140" t="s">
        <v>91</v>
      </c>
    </row>
    <row r="575" spans="1:13" ht="45.75" thickBot="1" x14ac:dyDescent="0.3">
      <c r="A575" s="139" t="s">
        <v>90</v>
      </c>
      <c r="B575" s="139" t="s">
        <v>89</v>
      </c>
      <c r="C575" s="134" t="s">
        <v>718</v>
      </c>
      <c r="D575" s="134" t="s">
        <v>719</v>
      </c>
      <c r="E575" s="136">
        <v>18504827.84</v>
      </c>
    </row>
    <row r="576" spans="1:13" ht="15.75" thickBot="1" x14ac:dyDescent="0.3">
      <c r="A576" s="139" t="s">
        <v>90</v>
      </c>
      <c r="B576" s="139" t="s">
        <v>89</v>
      </c>
      <c r="C576" s="352" t="s">
        <v>64</v>
      </c>
      <c r="D576" s="353"/>
      <c r="E576" s="137">
        <v>18504827.84</v>
      </c>
    </row>
    <row r="577" spans="1:8" ht="45.75" thickBot="1" x14ac:dyDescent="0.3">
      <c r="A577" s="132" t="s">
        <v>80</v>
      </c>
      <c r="B577" s="133" t="s">
        <v>24</v>
      </c>
      <c r="C577" s="134" t="s">
        <v>718</v>
      </c>
      <c r="D577" s="134" t="s">
        <v>719</v>
      </c>
      <c r="E577" s="136">
        <v>18504827.84</v>
      </c>
    </row>
    <row r="578" spans="1:8" ht="15.75" thickBot="1" x14ac:dyDescent="0.3">
      <c r="A578" s="132" t="s">
        <v>80</v>
      </c>
      <c r="B578" s="133" t="s">
        <v>24</v>
      </c>
      <c r="C578" s="352" t="s">
        <v>64</v>
      </c>
      <c r="D578" s="353"/>
      <c r="E578" s="137">
        <v>18504827.84</v>
      </c>
    </row>
    <row r="581" spans="1:8" x14ac:dyDescent="0.25">
      <c r="A581" s="80" t="s">
        <v>934</v>
      </c>
    </row>
    <row r="582" spans="1:8" ht="15.75" thickBot="1" x14ac:dyDescent="0.3">
      <c r="A582" s="80" t="s">
        <v>994</v>
      </c>
    </row>
    <row r="583" spans="1:8" ht="15.75" thickBot="1" x14ac:dyDescent="0.3">
      <c r="A583" s="347"/>
      <c r="B583" s="348"/>
      <c r="C583" s="348"/>
      <c r="D583" s="348"/>
      <c r="E583" s="348"/>
      <c r="F583" s="349"/>
      <c r="G583" s="140"/>
      <c r="H583" s="134" t="s">
        <v>95</v>
      </c>
    </row>
    <row r="584" spans="1:8" ht="15.75" thickBot="1" x14ac:dyDescent="0.3">
      <c r="A584" s="350" t="s">
        <v>94</v>
      </c>
      <c r="B584" s="351"/>
      <c r="C584" s="134" t="s">
        <v>188</v>
      </c>
      <c r="D584" s="350" t="s">
        <v>92</v>
      </c>
      <c r="E584" s="351"/>
      <c r="F584" s="134" t="s">
        <v>209</v>
      </c>
      <c r="G584" s="141"/>
      <c r="H584" s="140" t="s">
        <v>91</v>
      </c>
    </row>
    <row r="585" spans="1:8" ht="23.25" thickBot="1" x14ac:dyDescent="0.3">
      <c r="A585" s="139" t="s">
        <v>90</v>
      </c>
      <c r="B585" s="139" t="s">
        <v>89</v>
      </c>
      <c r="C585" s="134" t="s">
        <v>526</v>
      </c>
      <c r="D585" s="134" t="s">
        <v>689</v>
      </c>
      <c r="E585" s="134" t="s">
        <v>690</v>
      </c>
      <c r="F585" s="134" t="s">
        <v>697</v>
      </c>
      <c r="G585" s="134" t="s">
        <v>698</v>
      </c>
      <c r="H585" s="136">
        <v>150</v>
      </c>
    </row>
    <row r="586" spans="1:8" ht="23.25" thickBot="1" x14ac:dyDescent="0.3">
      <c r="A586" s="139" t="s">
        <v>90</v>
      </c>
      <c r="B586" s="139" t="s">
        <v>89</v>
      </c>
      <c r="C586" s="134" t="s">
        <v>526</v>
      </c>
      <c r="D586" s="134" t="s">
        <v>689</v>
      </c>
      <c r="E586" s="134" t="s">
        <v>690</v>
      </c>
      <c r="F586" s="352" t="s">
        <v>64</v>
      </c>
      <c r="G586" s="353"/>
      <c r="H586" s="137">
        <v>150</v>
      </c>
    </row>
    <row r="587" spans="1:8" ht="15.75" thickBot="1" x14ac:dyDescent="0.3">
      <c r="A587" s="139" t="s">
        <v>90</v>
      </c>
      <c r="B587" s="139" t="s">
        <v>89</v>
      </c>
      <c r="C587" s="134" t="s">
        <v>526</v>
      </c>
      <c r="D587" s="352" t="s">
        <v>64</v>
      </c>
      <c r="E587" s="354"/>
      <c r="F587" s="354"/>
      <c r="G587" s="353"/>
      <c r="H587" s="137">
        <v>150</v>
      </c>
    </row>
    <row r="588" spans="1:8" ht="23.25" thickBot="1" x14ac:dyDescent="0.3">
      <c r="A588" s="139" t="s">
        <v>90</v>
      </c>
      <c r="B588" s="139" t="s">
        <v>89</v>
      </c>
      <c r="C588" s="134" t="s">
        <v>518</v>
      </c>
      <c r="D588" s="134" t="s">
        <v>673</v>
      </c>
      <c r="E588" s="134" t="s">
        <v>677</v>
      </c>
      <c r="F588" s="134" t="s">
        <v>675</v>
      </c>
      <c r="G588" s="134" t="s">
        <v>676</v>
      </c>
      <c r="H588" s="135">
        <v>132727.25</v>
      </c>
    </row>
    <row r="589" spans="1:8" ht="23.25" thickBot="1" x14ac:dyDescent="0.3">
      <c r="A589" s="139" t="s">
        <v>90</v>
      </c>
      <c r="B589" s="139" t="s">
        <v>89</v>
      </c>
      <c r="C589" s="134" t="s">
        <v>518</v>
      </c>
      <c r="D589" s="134" t="s">
        <v>673</v>
      </c>
      <c r="E589" s="134" t="s">
        <v>677</v>
      </c>
      <c r="F589" s="134" t="s">
        <v>230</v>
      </c>
      <c r="G589" s="134" t="s">
        <v>231</v>
      </c>
      <c r="H589" s="136">
        <v>335904</v>
      </c>
    </row>
    <row r="590" spans="1:8" ht="23.25" thickBot="1" x14ac:dyDescent="0.3">
      <c r="A590" s="139" t="s">
        <v>90</v>
      </c>
      <c r="B590" s="139" t="s">
        <v>89</v>
      </c>
      <c r="C590" s="134" t="s">
        <v>518</v>
      </c>
      <c r="D590" s="134" t="s">
        <v>673</v>
      </c>
      <c r="E590" s="134" t="s">
        <v>677</v>
      </c>
      <c r="F590" s="352" t="s">
        <v>64</v>
      </c>
      <c r="G590" s="353"/>
      <c r="H590" s="137">
        <v>468631.25</v>
      </c>
    </row>
    <row r="591" spans="1:8" ht="15.75" thickBot="1" x14ac:dyDescent="0.3">
      <c r="A591" s="139" t="s">
        <v>90</v>
      </c>
      <c r="B591" s="139" t="s">
        <v>89</v>
      </c>
      <c r="C591" s="134" t="s">
        <v>518</v>
      </c>
      <c r="D591" s="352" t="s">
        <v>64</v>
      </c>
      <c r="E591" s="354"/>
      <c r="F591" s="354"/>
      <c r="G591" s="353"/>
      <c r="H591" s="137">
        <v>468631.25</v>
      </c>
    </row>
    <row r="592" spans="1:8" ht="15.75" thickBot="1" x14ac:dyDescent="0.3">
      <c r="A592" s="139" t="s">
        <v>90</v>
      </c>
      <c r="B592" s="139" t="s">
        <v>89</v>
      </c>
      <c r="C592" s="134" t="s">
        <v>514</v>
      </c>
      <c r="D592" s="134" t="s">
        <v>678</v>
      </c>
      <c r="E592" s="134" t="s">
        <v>679</v>
      </c>
      <c r="F592" s="134" t="s">
        <v>230</v>
      </c>
      <c r="G592" s="134" t="s">
        <v>231</v>
      </c>
      <c r="H592" s="135">
        <v>279</v>
      </c>
    </row>
    <row r="593" spans="1:8" ht="15.75" thickBot="1" x14ac:dyDescent="0.3">
      <c r="A593" s="139" t="s">
        <v>90</v>
      </c>
      <c r="B593" s="139" t="s">
        <v>89</v>
      </c>
      <c r="C593" s="134" t="s">
        <v>514</v>
      </c>
      <c r="D593" s="134" t="s">
        <v>678</v>
      </c>
      <c r="E593" s="134" t="s">
        <v>679</v>
      </c>
      <c r="F593" s="352" t="s">
        <v>64</v>
      </c>
      <c r="G593" s="353"/>
      <c r="H593" s="137">
        <v>279</v>
      </c>
    </row>
    <row r="594" spans="1:8" ht="15.75" thickBot="1" x14ac:dyDescent="0.3">
      <c r="A594" s="139" t="s">
        <v>90</v>
      </c>
      <c r="B594" s="139" t="s">
        <v>89</v>
      </c>
      <c r="C594" s="134" t="s">
        <v>514</v>
      </c>
      <c r="D594" s="352" t="s">
        <v>64</v>
      </c>
      <c r="E594" s="354"/>
      <c r="F594" s="354"/>
      <c r="G594" s="353"/>
      <c r="H594" s="137">
        <v>279</v>
      </c>
    </row>
    <row r="595" spans="1:8" ht="23.25" thickBot="1" x14ac:dyDescent="0.3">
      <c r="A595" s="139" t="s">
        <v>90</v>
      </c>
      <c r="B595" s="139" t="s">
        <v>89</v>
      </c>
      <c r="C595" s="134" t="s">
        <v>691</v>
      </c>
      <c r="D595" s="134" t="s">
        <v>692</v>
      </c>
      <c r="E595" s="134" t="s">
        <v>693</v>
      </c>
      <c r="F595" s="134" t="s">
        <v>685</v>
      </c>
      <c r="G595" s="134" t="s">
        <v>686</v>
      </c>
      <c r="H595" s="136">
        <v>76208.100000000006</v>
      </c>
    </row>
    <row r="596" spans="1:8" ht="23.25" thickBot="1" x14ac:dyDescent="0.3">
      <c r="A596" s="139" t="s">
        <v>90</v>
      </c>
      <c r="B596" s="139" t="s">
        <v>89</v>
      </c>
      <c r="C596" s="134" t="s">
        <v>691</v>
      </c>
      <c r="D596" s="134" t="s">
        <v>692</v>
      </c>
      <c r="E596" s="134" t="s">
        <v>693</v>
      </c>
      <c r="F596" s="134" t="s">
        <v>675</v>
      </c>
      <c r="G596" s="134" t="s">
        <v>676</v>
      </c>
      <c r="H596" s="135">
        <v>8750</v>
      </c>
    </row>
    <row r="597" spans="1:8" ht="23.25" thickBot="1" x14ac:dyDescent="0.3">
      <c r="A597" s="139" t="s">
        <v>90</v>
      </c>
      <c r="B597" s="139" t="s">
        <v>89</v>
      </c>
      <c r="C597" s="134" t="s">
        <v>691</v>
      </c>
      <c r="D597" s="134" t="s">
        <v>692</v>
      </c>
      <c r="E597" s="134" t="s">
        <v>693</v>
      </c>
      <c r="F597" s="352" t="s">
        <v>64</v>
      </c>
      <c r="G597" s="353"/>
      <c r="H597" s="137">
        <v>84958.1</v>
      </c>
    </row>
    <row r="598" spans="1:8" ht="15.75" thickBot="1" x14ac:dyDescent="0.3">
      <c r="A598" s="139" t="s">
        <v>90</v>
      </c>
      <c r="B598" s="139" t="s">
        <v>89</v>
      </c>
      <c r="C598" s="134" t="s">
        <v>691</v>
      </c>
      <c r="D598" s="352" t="s">
        <v>64</v>
      </c>
      <c r="E598" s="354"/>
      <c r="F598" s="354"/>
      <c r="G598" s="353"/>
      <c r="H598" s="137">
        <v>84958.1</v>
      </c>
    </row>
    <row r="599" spans="1:8" ht="15.75" thickBot="1" x14ac:dyDescent="0.3">
      <c r="A599" s="139" t="s">
        <v>90</v>
      </c>
      <c r="B599" s="139" t="s">
        <v>89</v>
      </c>
      <c r="C599" s="352" t="s">
        <v>64</v>
      </c>
      <c r="D599" s="354"/>
      <c r="E599" s="354"/>
      <c r="F599" s="354"/>
      <c r="G599" s="353"/>
      <c r="H599" s="137">
        <v>554018.35</v>
      </c>
    </row>
    <row r="601" spans="1:8" ht="15.75" thickBot="1" x14ac:dyDescent="0.3"/>
    <row r="602" spans="1:8" ht="15.75" thickBot="1" x14ac:dyDescent="0.3">
      <c r="A602" s="347"/>
      <c r="B602" s="348"/>
      <c r="C602" s="349"/>
      <c r="D602" s="140"/>
      <c r="E602" s="134" t="s">
        <v>95</v>
      </c>
    </row>
    <row r="603" spans="1:8" ht="15.75" thickBot="1" x14ac:dyDescent="0.3">
      <c r="A603" s="350" t="s">
        <v>94</v>
      </c>
      <c r="B603" s="351"/>
      <c r="C603" s="134" t="s">
        <v>92</v>
      </c>
      <c r="D603" s="141"/>
      <c r="E603" s="140" t="s">
        <v>91</v>
      </c>
    </row>
    <row r="604" spans="1:8" ht="15.75" thickBot="1" x14ac:dyDescent="0.3">
      <c r="A604" s="139" t="s">
        <v>90</v>
      </c>
      <c r="B604" s="139" t="s">
        <v>89</v>
      </c>
      <c r="C604" s="134" t="s">
        <v>673</v>
      </c>
      <c r="D604" s="134" t="s">
        <v>674</v>
      </c>
      <c r="E604" s="136">
        <v>2981583.98</v>
      </c>
    </row>
    <row r="605" spans="1:8" ht="15.75" thickBot="1" x14ac:dyDescent="0.3">
      <c r="A605" s="139" t="s">
        <v>90</v>
      </c>
      <c r="B605" s="139" t="s">
        <v>89</v>
      </c>
      <c r="C605" s="134" t="s">
        <v>673</v>
      </c>
      <c r="D605" s="134" t="s">
        <v>677</v>
      </c>
      <c r="E605" s="135">
        <v>18239100.32</v>
      </c>
    </row>
    <row r="606" spans="1:8" ht="15.75" thickBot="1" x14ac:dyDescent="0.3">
      <c r="A606" s="139" t="s">
        <v>90</v>
      </c>
      <c r="B606" s="139" t="s">
        <v>89</v>
      </c>
      <c r="C606" s="134" t="s">
        <v>703</v>
      </c>
      <c r="D606" s="134" t="s">
        <v>704</v>
      </c>
      <c r="E606" s="136">
        <v>164413.51999999999</v>
      </c>
    </row>
    <row r="607" spans="1:8" ht="15.75" thickBot="1" x14ac:dyDescent="0.3">
      <c r="A607" s="139" t="s">
        <v>90</v>
      </c>
      <c r="B607" s="139" t="s">
        <v>89</v>
      </c>
      <c r="C607" s="134" t="s">
        <v>689</v>
      </c>
      <c r="D607" s="134" t="s">
        <v>690</v>
      </c>
      <c r="E607" s="135">
        <v>248360.82</v>
      </c>
    </row>
    <row r="608" spans="1:8" ht="15.75" thickBot="1" x14ac:dyDescent="0.3">
      <c r="A608" s="139" t="s">
        <v>90</v>
      </c>
      <c r="B608" s="139" t="s">
        <v>89</v>
      </c>
      <c r="C608" s="134" t="s">
        <v>692</v>
      </c>
      <c r="D608" s="134" t="s">
        <v>693</v>
      </c>
      <c r="E608" s="136">
        <v>164704.73000000001</v>
      </c>
    </row>
    <row r="609" spans="1:11" ht="15.75" thickBot="1" x14ac:dyDescent="0.3">
      <c r="A609" s="139" t="s">
        <v>90</v>
      </c>
      <c r="B609" s="139" t="s">
        <v>89</v>
      </c>
      <c r="C609" s="134" t="s">
        <v>671</v>
      </c>
      <c r="D609" s="134" t="s">
        <v>672</v>
      </c>
      <c r="E609" s="135">
        <v>4890987.25</v>
      </c>
    </row>
    <row r="610" spans="1:11" ht="15.75" thickBot="1" x14ac:dyDescent="0.3">
      <c r="A610" s="139" t="s">
        <v>90</v>
      </c>
      <c r="B610" s="139" t="s">
        <v>89</v>
      </c>
      <c r="C610" s="352" t="s">
        <v>64</v>
      </c>
      <c r="D610" s="353"/>
      <c r="E610" s="137">
        <v>26689150.620000001</v>
      </c>
    </row>
    <row r="611" spans="1:11" ht="15.75" thickBot="1" x14ac:dyDescent="0.3">
      <c r="A611" s="132" t="s">
        <v>54</v>
      </c>
      <c r="B611" s="133" t="s">
        <v>55</v>
      </c>
      <c r="C611" s="134" t="s">
        <v>673</v>
      </c>
      <c r="D611" s="134" t="s">
        <v>674</v>
      </c>
      <c r="E611" s="135">
        <v>564702.31000000006</v>
      </c>
    </row>
    <row r="612" spans="1:11" ht="15.75" thickBot="1" x14ac:dyDescent="0.3">
      <c r="A612" s="132" t="s">
        <v>54</v>
      </c>
      <c r="B612" s="133" t="s">
        <v>55</v>
      </c>
      <c r="C612" s="134" t="s">
        <v>673</v>
      </c>
      <c r="D612" s="134" t="s">
        <v>677</v>
      </c>
      <c r="E612" s="136">
        <v>1495750</v>
      </c>
    </row>
    <row r="613" spans="1:11" ht="15.75" thickBot="1" x14ac:dyDescent="0.3">
      <c r="A613" s="132" t="s">
        <v>54</v>
      </c>
      <c r="B613" s="133" t="s">
        <v>55</v>
      </c>
      <c r="C613" s="134" t="s">
        <v>671</v>
      </c>
      <c r="D613" s="134" t="s">
        <v>672</v>
      </c>
      <c r="E613" s="135">
        <v>1002960.47</v>
      </c>
    </row>
    <row r="614" spans="1:11" ht="15.75" thickBot="1" x14ac:dyDescent="0.3">
      <c r="A614" s="132" t="s">
        <v>54</v>
      </c>
      <c r="B614" s="133" t="s">
        <v>55</v>
      </c>
      <c r="C614" s="352" t="s">
        <v>64</v>
      </c>
      <c r="D614" s="353"/>
      <c r="E614" s="137">
        <v>3063412.78</v>
      </c>
    </row>
    <row r="615" spans="1:11" ht="15.75" thickBot="1" x14ac:dyDescent="0.3">
      <c r="A615" s="132" t="s">
        <v>65</v>
      </c>
      <c r="B615" s="133" t="s">
        <v>26</v>
      </c>
      <c r="C615" s="134" t="s">
        <v>673</v>
      </c>
      <c r="D615" s="134" t="s">
        <v>677</v>
      </c>
      <c r="E615" s="135">
        <v>468631.25</v>
      </c>
      <c r="G615" s="80" t="s">
        <v>1031</v>
      </c>
    </row>
    <row r="616" spans="1:11" ht="15.75" thickBot="1" x14ac:dyDescent="0.3">
      <c r="A616" s="132" t="s">
        <v>65</v>
      </c>
      <c r="B616" s="133" t="s">
        <v>26</v>
      </c>
      <c r="C616" s="134" t="s">
        <v>689</v>
      </c>
      <c r="D616" s="134" t="s">
        <v>690</v>
      </c>
      <c r="E616" s="136">
        <v>150</v>
      </c>
      <c r="G616" s="338" t="s">
        <v>1029</v>
      </c>
      <c r="H616" s="338" t="s">
        <v>671</v>
      </c>
      <c r="I616" s="339">
        <v>1720001.56</v>
      </c>
    </row>
    <row r="617" spans="1:11" ht="15.75" thickBot="1" x14ac:dyDescent="0.3">
      <c r="A617" s="132" t="s">
        <v>65</v>
      </c>
      <c r="B617" s="133" t="s">
        <v>26</v>
      </c>
      <c r="C617" s="134" t="s">
        <v>692</v>
      </c>
      <c r="D617" s="134" t="s">
        <v>693</v>
      </c>
      <c r="E617" s="135">
        <v>84958.1</v>
      </c>
      <c r="G617" s="338" t="s">
        <v>1029</v>
      </c>
      <c r="H617" s="338" t="s">
        <v>673</v>
      </c>
      <c r="I617" s="339">
        <v>2127639.12</v>
      </c>
    </row>
    <row r="618" spans="1:11" ht="15.75" thickBot="1" x14ac:dyDescent="0.3">
      <c r="A618" s="132" t="s">
        <v>65</v>
      </c>
      <c r="B618" s="133" t="s">
        <v>26</v>
      </c>
      <c r="C618" s="352" t="s">
        <v>64</v>
      </c>
      <c r="D618" s="353"/>
      <c r="E618" s="137">
        <v>553739.35</v>
      </c>
      <c r="G618" s="338" t="s">
        <v>1030</v>
      </c>
      <c r="H618" s="338" t="s">
        <v>681</v>
      </c>
      <c r="I618" s="339">
        <v>165331.95000000001</v>
      </c>
    </row>
    <row r="619" spans="1:11" ht="15.75" thickBot="1" x14ac:dyDescent="0.3">
      <c r="A619" s="132" t="s">
        <v>88</v>
      </c>
      <c r="B619" s="133" t="s">
        <v>87</v>
      </c>
      <c r="C619" s="134" t="s">
        <v>673</v>
      </c>
      <c r="D619" s="134" t="s">
        <v>674</v>
      </c>
      <c r="E619" s="135">
        <v>0</v>
      </c>
      <c r="G619" s="338" t="s">
        <v>1030</v>
      </c>
      <c r="H619" s="338" t="s">
        <v>687</v>
      </c>
      <c r="I619" s="339">
        <v>2400</v>
      </c>
    </row>
    <row r="620" spans="1:11" ht="15.75" thickBot="1" x14ac:dyDescent="0.3">
      <c r="A620" s="132" t="s">
        <v>88</v>
      </c>
      <c r="B620" s="133" t="s">
        <v>87</v>
      </c>
      <c r="C620" s="352" t="s">
        <v>64</v>
      </c>
      <c r="D620" s="353"/>
      <c r="E620" s="137">
        <v>0</v>
      </c>
      <c r="G620" s="338" t="s">
        <v>1030</v>
      </c>
      <c r="H620" s="338" t="s">
        <v>678</v>
      </c>
      <c r="I620" s="339">
        <v>117612</v>
      </c>
    </row>
    <row r="621" spans="1:11" ht="15.75" thickBot="1" x14ac:dyDescent="0.3">
      <c r="A621" s="132" t="s">
        <v>66</v>
      </c>
      <c r="B621" s="133" t="s">
        <v>67</v>
      </c>
      <c r="C621" s="134" t="s">
        <v>673</v>
      </c>
      <c r="D621" s="134" t="s">
        <v>677</v>
      </c>
      <c r="E621" s="135">
        <v>2176488.12</v>
      </c>
      <c r="I621" s="340">
        <f>SUM(I616:I620)</f>
        <v>4132984.6300000004</v>
      </c>
    </row>
    <row r="622" spans="1:11" ht="15.75" thickBot="1" x14ac:dyDescent="0.3">
      <c r="A622" s="132" t="s">
        <v>66</v>
      </c>
      <c r="B622" s="133" t="s">
        <v>67</v>
      </c>
      <c r="C622" s="134" t="s">
        <v>703</v>
      </c>
      <c r="D622" s="134" t="s">
        <v>704</v>
      </c>
      <c r="E622" s="136">
        <v>7274</v>
      </c>
      <c r="G622" s="80" t="s">
        <v>1028</v>
      </c>
    </row>
    <row r="623" spans="1:11" ht="15.75" thickBot="1" x14ac:dyDescent="0.3">
      <c r="A623" s="132" t="s">
        <v>66</v>
      </c>
      <c r="B623" s="133" t="s">
        <v>67</v>
      </c>
      <c r="C623" s="134" t="s">
        <v>689</v>
      </c>
      <c r="D623" s="134" t="s">
        <v>690</v>
      </c>
      <c r="E623" s="135">
        <v>1419</v>
      </c>
      <c r="G623" s="275"/>
      <c r="H623" s="276"/>
      <c r="I623" s="277"/>
      <c r="J623" s="140"/>
      <c r="K623" s="134" t="s">
        <v>95</v>
      </c>
    </row>
    <row r="624" spans="1:11" ht="15.75" thickBot="1" x14ac:dyDescent="0.3">
      <c r="A624" s="132" t="s">
        <v>66</v>
      </c>
      <c r="B624" s="133" t="s">
        <v>67</v>
      </c>
      <c r="C624" s="134" t="s">
        <v>671</v>
      </c>
      <c r="D624" s="134" t="s">
        <v>672</v>
      </c>
      <c r="E624" s="136">
        <v>1720001.56</v>
      </c>
      <c r="G624" s="278" t="s">
        <v>94</v>
      </c>
      <c r="H624" s="279"/>
      <c r="I624" s="134" t="s">
        <v>92</v>
      </c>
      <c r="J624" s="141"/>
      <c r="K624" s="140" t="s">
        <v>91</v>
      </c>
    </row>
    <row r="625" spans="1:12" ht="15.75" thickBot="1" x14ac:dyDescent="0.3">
      <c r="A625" s="132" t="s">
        <v>66</v>
      </c>
      <c r="B625" s="133" t="s">
        <v>67</v>
      </c>
      <c r="C625" s="352" t="s">
        <v>64</v>
      </c>
      <c r="D625" s="353"/>
      <c r="E625" s="137">
        <v>3905182.68</v>
      </c>
      <c r="G625" s="139" t="s">
        <v>163</v>
      </c>
      <c r="H625" s="139" t="s">
        <v>164</v>
      </c>
      <c r="I625" s="134" t="s">
        <v>703</v>
      </c>
      <c r="J625" s="134" t="s">
        <v>704</v>
      </c>
      <c r="K625" s="136">
        <v>148699.51999999999</v>
      </c>
    </row>
    <row r="626" spans="1:12" ht="23.25" thickBot="1" x14ac:dyDescent="0.3">
      <c r="A626" s="132" t="s">
        <v>72</v>
      </c>
      <c r="B626" s="133" t="s">
        <v>73</v>
      </c>
      <c r="C626" s="134" t="s">
        <v>673</v>
      </c>
      <c r="D626" s="134" t="s">
        <v>674</v>
      </c>
      <c r="E626" s="136">
        <v>2416881.67</v>
      </c>
      <c r="G626" s="139" t="s">
        <v>163</v>
      </c>
      <c r="H626" s="139" t="s">
        <v>164</v>
      </c>
      <c r="I626" s="134" t="s">
        <v>689</v>
      </c>
      <c r="J626" s="134" t="s">
        <v>690</v>
      </c>
      <c r="K626" s="135">
        <v>19474.830000000002</v>
      </c>
    </row>
    <row r="627" spans="1:12" ht="23.25" thickBot="1" x14ac:dyDescent="0.3">
      <c r="A627" s="132" t="s">
        <v>72</v>
      </c>
      <c r="B627" s="133" t="s">
        <v>73</v>
      </c>
      <c r="C627" s="134" t="s">
        <v>673</v>
      </c>
      <c r="D627" s="134" t="s">
        <v>677</v>
      </c>
      <c r="E627" s="135">
        <v>2040769</v>
      </c>
      <c r="G627" s="139" t="s">
        <v>163</v>
      </c>
      <c r="H627" s="139" t="s">
        <v>164</v>
      </c>
      <c r="I627" s="134" t="s">
        <v>671</v>
      </c>
      <c r="J627" s="134" t="s">
        <v>672</v>
      </c>
      <c r="K627" s="136">
        <v>72824.34</v>
      </c>
    </row>
    <row r="628" spans="1:12" ht="15.75" thickBot="1" x14ac:dyDescent="0.3">
      <c r="A628" s="132" t="s">
        <v>72</v>
      </c>
      <c r="B628" s="133" t="s">
        <v>73</v>
      </c>
      <c r="C628" s="134" t="s">
        <v>703</v>
      </c>
      <c r="D628" s="134" t="s">
        <v>704</v>
      </c>
      <c r="E628" s="136">
        <v>151199.51999999999</v>
      </c>
      <c r="G628" s="139" t="s">
        <v>163</v>
      </c>
      <c r="H628" s="139" t="s">
        <v>164</v>
      </c>
      <c r="I628" s="280" t="s">
        <v>64</v>
      </c>
      <c r="J628" s="281"/>
      <c r="K628" s="137">
        <v>240998.69</v>
      </c>
    </row>
    <row r="629" spans="1:12" ht="23.25" thickBot="1" x14ac:dyDescent="0.3">
      <c r="A629" s="132" t="s">
        <v>72</v>
      </c>
      <c r="B629" s="133" t="s">
        <v>73</v>
      </c>
      <c r="C629" s="134" t="s">
        <v>689</v>
      </c>
      <c r="D629" s="134" t="s">
        <v>690</v>
      </c>
      <c r="E629" s="135">
        <v>45398.879999999997</v>
      </c>
      <c r="G629" s="132" t="s">
        <v>995</v>
      </c>
      <c r="H629" s="133" t="s">
        <v>164</v>
      </c>
      <c r="I629" s="134" t="s">
        <v>703</v>
      </c>
      <c r="J629" s="134" t="s">
        <v>704</v>
      </c>
      <c r="K629" s="136">
        <v>148699.51999999999</v>
      </c>
    </row>
    <row r="630" spans="1:12" ht="23.25" thickBot="1" x14ac:dyDescent="0.3">
      <c r="A630" s="132" t="s">
        <v>72</v>
      </c>
      <c r="B630" s="133" t="s">
        <v>73</v>
      </c>
      <c r="C630" s="134" t="s">
        <v>692</v>
      </c>
      <c r="D630" s="134" t="s">
        <v>693</v>
      </c>
      <c r="E630" s="136">
        <v>79746.63</v>
      </c>
      <c r="G630" s="132" t="s">
        <v>995</v>
      </c>
      <c r="H630" s="133" t="s">
        <v>164</v>
      </c>
      <c r="I630" s="134" t="s">
        <v>689</v>
      </c>
      <c r="J630" s="134" t="s">
        <v>690</v>
      </c>
      <c r="K630" s="135">
        <v>19474.830000000002</v>
      </c>
    </row>
    <row r="631" spans="1:12" ht="23.25" thickBot="1" x14ac:dyDescent="0.3">
      <c r="A631" s="132" t="s">
        <v>72</v>
      </c>
      <c r="B631" s="133" t="s">
        <v>73</v>
      </c>
      <c r="C631" s="134" t="s">
        <v>671</v>
      </c>
      <c r="D631" s="134" t="s">
        <v>672</v>
      </c>
      <c r="E631" s="135">
        <v>1034469.16</v>
      </c>
      <c r="G631" s="132" t="s">
        <v>995</v>
      </c>
      <c r="H631" s="133" t="s">
        <v>164</v>
      </c>
      <c r="I631" s="134" t="s">
        <v>671</v>
      </c>
      <c r="J631" s="134" t="s">
        <v>672</v>
      </c>
      <c r="K631" s="136">
        <v>72824.34</v>
      </c>
    </row>
    <row r="632" spans="1:12" ht="23.25" thickBot="1" x14ac:dyDescent="0.3">
      <c r="A632" s="132" t="s">
        <v>72</v>
      </c>
      <c r="B632" s="133" t="s">
        <v>73</v>
      </c>
      <c r="C632" s="352" t="s">
        <v>64</v>
      </c>
      <c r="D632" s="353"/>
      <c r="E632" s="137">
        <v>5768464.8600000003</v>
      </c>
      <c r="G632" s="132" t="s">
        <v>995</v>
      </c>
      <c r="H632" s="133" t="s">
        <v>164</v>
      </c>
      <c r="I632" s="301" t="s">
        <v>64</v>
      </c>
      <c r="J632" s="302"/>
      <c r="K632" s="137">
        <v>240998.69</v>
      </c>
      <c r="L632" s="2">
        <f>+E632-K632+E661</f>
        <v>5563463.6299999999</v>
      </c>
    </row>
    <row r="633" spans="1:12" ht="15.75" thickBot="1" x14ac:dyDescent="0.3">
      <c r="A633" s="132" t="s">
        <v>76</v>
      </c>
      <c r="B633" s="133" t="s">
        <v>77</v>
      </c>
      <c r="C633" s="134" t="s">
        <v>673</v>
      </c>
      <c r="D633" s="134" t="s">
        <v>677</v>
      </c>
      <c r="E633" s="135">
        <v>4272079.99</v>
      </c>
    </row>
    <row r="634" spans="1:12" ht="15.75" thickBot="1" x14ac:dyDescent="0.3">
      <c r="A634" s="132" t="s">
        <v>76</v>
      </c>
      <c r="B634" s="133" t="s">
        <v>77</v>
      </c>
      <c r="C634" s="134" t="s">
        <v>703</v>
      </c>
      <c r="D634" s="134" t="s">
        <v>704</v>
      </c>
      <c r="E634" s="136">
        <v>5940</v>
      </c>
    </row>
    <row r="635" spans="1:12" ht="15.75" thickBot="1" x14ac:dyDescent="0.3">
      <c r="A635" s="132" t="s">
        <v>76</v>
      </c>
      <c r="B635" s="133" t="s">
        <v>77</v>
      </c>
      <c r="C635" s="134" t="s">
        <v>689</v>
      </c>
      <c r="D635" s="134" t="s">
        <v>690</v>
      </c>
      <c r="E635" s="135">
        <v>26960.5</v>
      </c>
    </row>
    <row r="636" spans="1:12" ht="15.75" thickBot="1" x14ac:dyDescent="0.3">
      <c r="A636" s="132" t="s">
        <v>76</v>
      </c>
      <c r="B636" s="133" t="s">
        <v>77</v>
      </c>
      <c r="C636" s="134" t="s">
        <v>671</v>
      </c>
      <c r="D636" s="134" t="s">
        <v>672</v>
      </c>
      <c r="E636" s="136">
        <v>1133556.06</v>
      </c>
    </row>
    <row r="637" spans="1:12" ht="15.75" thickBot="1" x14ac:dyDescent="0.3">
      <c r="A637" s="132" t="s">
        <v>76</v>
      </c>
      <c r="B637" s="133" t="s">
        <v>77</v>
      </c>
      <c r="C637" s="352" t="s">
        <v>64</v>
      </c>
      <c r="D637" s="353"/>
      <c r="E637" s="137">
        <v>5438536.5499999998</v>
      </c>
    </row>
    <row r="638" spans="1:12" ht="15.75" thickBot="1" x14ac:dyDescent="0.3">
      <c r="A638" s="132" t="s">
        <v>80</v>
      </c>
      <c r="B638" s="133" t="s">
        <v>24</v>
      </c>
      <c r="C638" s="134" t="s">
        <v>673</v>
      </c>
      <c r="D638" s="134" t="s">
        <v>677</v>
      </c>
      <c r="E638" s="136">
        <v>7785381.96</v>
      </c>
    </row>
    <row r="639" spans="1:12" ht="15.75" thickBot="1" x14ac:dyDescent="0.3">
      <c r="A639" s="132" t="s">
        <v>80</v>
      </c>
      <c r="B639" s="133" t="s">
        <v>24</v>
      </c>
      <c r="C639" s="134" t="s">
        <v>689</v>
      </c>
      <c r="D639" s="134" t="s">
        <v>690</v>
      </c>
      <c r="E639" s="135">
        <v>174432.44</v>
      </c>
    </row>
    <row r="640" spans="1:12" ht="15.75" thickBot="1" x14ac:dyDescent="0.3">
      <c r="A640" s="132" t="s">
        <v>80</v>
      </c>
      <c r="B640" s="133" t="s">
        <v>24</v>
      </c>
      <c r="C640" s="352" t="s">
        <v>64</v>
      </c>
      <c r="D640" s="353"/>
      <c r="E640" s="137">
        <v>7959814.4000000004</v>
      </c>
    </row>
    <row r="642" spans="1:5" ht="15.75" thickBot="1" x14ac:dyDescent="0.3"/>
    <row r="643" spans="1:5" ht="15.75" thickBot="1" x14ac:dyDescent="0.3">
      <c r="A643" s="347"/>
      <c r="B643" s="348"/>
      <c r="C643" s="349"/>
      <c r="D643" s="140"/>
      <c r="E643" s="134" t="s">
        <v>95</v>
      </c>
    </row>
    <row r="644" spans="1:5" ht="15.75" thickBot="1" x14ac:dyDescent="0.3">
      <c r="A644" s="350" t="s">
        <v>94</v>
      </c>
      <c r="B644" s="351"/>
      <c r="C644" s="134" t="s">
        <v>92</v>
      </c>
      <c r="D644" s="141"/>
      <c r="E644" s="140" t="s">
        <v>91</v>
      </c>
    </row>
    <row r="645" spans="1:5" ht="15.75" thickBot="1" x14ac:dyDescent="0.3">
      <c r="A645" s="139" t="s">
        <v>90</v>
      </c>
      <c r="B645" s="139" t="s">
        <v>89</v>
      </c>
      <c r="C645" s="134" t="s">
        <v>678</v>
      </c>
      <c r="D645" s="134" t="s">
        <v>679</v>
      </c>
      <c r="E645" s="136">
        <v>137474.89000000001</v>
      </c>
    </row>
    <row r="646" spans="1:5" ht="15.75" thickBot="1" x14ac:dyDescent="0.3">
      <c r="A646" s="139" t="s">
        <v>90</v>
      </c>
      <c r="B646" s="139" t="s">
        <v>89</v>
      </c>
      <c r="C646" s="134" t="s">
        <v>681</v>
      </c>
      <c r="D646" s="134" t="s">
        <v>694</v>
      </c>
      <c r="E646" s="135">
        <v>2100</v>
      </c>
    </row>
    <row r="647" spans="1:5" ht="15.75" thickBot="1" x14ac:dyDescent="0.3">
      <c r="A647" s="139" t="s">
        <v>90</v>
      </c>
      <c r="B647" s="139" t="s">
        <v>89</v>
      </c>
      <c r="C647" s="134" t="s">
        <v>681</v>
      </c>
      <c r="D647" s="134" t="s">
        <v>682</v>
      </c>
      <c r="E647" s="136">
        <v>738215.17</v>
      </c>
    </row>
    <row r="648" spans="1:5" ht="15.75" thickBot="1" x14ac:dyDescent="0.3">
      <c r="A648" s="139" t="s">
        <v>90</v>
      </c>
      <c r="B648" s="139" t="s">
        <v>89</v>
      </c>
      <c r="C648" s="134" t="s">
        <v>687</v>
      </c>
      <c r="D648" s="134" t="s">
        <v>688</v>
      </c>
      <c r="E648" s="135">
        <v>60470</v>
      </c>
    </row>
    <row r="649" spans="1:5" ht="15.75" thickBot="1" x14ac:dyDescent="0.3">
      <c r="A649" s="139" t="s">
        <v>90</v>
      </c>
      <c r="B649" s="139" t="s">
        <v>89</v>
      </c>
      <c r="C649" s="352" t="s">
        <v>64</v>
      </c>
      <c r="D649" s="353"/>
      <c r="E649" s="137">
        <v>938260.06</v>
      </c>
    </row>
    <row r="650" spans="1:5" ht="15.75" thickBot="1" x14ac:dyDescent="0.3">
      <c r="A650" s="132" t="s">
        <v>54</v>
      </c>
      <c r="B650" s="133" t="s">
        <v>55</v>
      </c>
      <c r="C650" s="134" t="s">
        <v>678</v>
      </c>
      <c r="D650" s="134" t="s">
        <v>679</v>
      </c>
      <c r="E650" s="135">
        <v>205</v>
      </c>
    </row>
    <row r="651" spans="1:5" ht="15.75" thickBot="1" x14ac:dyDescent="0.3">
      <c r="A651" s="132" t="s">
        <v>54</v>
      </c>
      <c r="B651" s="133" t="s">
        <v>55</v>
      </c>
      <c r="C651" s="134" t="s">
        <v>681</v>
      </c>
      <c r="D651" s="134" t="s">
        <v>682</v>
      </c>
      <c r="E651" s="136">
        <v>172868.38</v>
      </c>
    </row>
    <row r="652" spans="1:5" ht="15.75" thickBot="1" x14ac:dyDescent="0.3">
      <c r="A652" s="132" t="s">
        <v>54</v>
      </c>
      <c r="B652" s="133" t="s">
        <v>55</v>
      </c>
      <c r="C652" s="134" t="s">
        <v>687</v>
      </c>
      <c r="D652" s="134" t="s">
        <v>688</v>
      </c>
      <c r="E652" s="135">
        <v>37990</v>
      </c>
    </row>
    <row r="653" spans="1:5" ht="15.75" thickBot="1" x14ac:dyDescent="0.3">
      <c r="A653" s="132" t="s">
        <v>54</v>
      </c>
      <c r="B653" s="133" t="s">
        <v>55</v>
      </c>
      <c r="C653" s="352" t="s">
        <v>64</v>
      </c>
      <c r="D653" s="353"/>
      <c r="E653" s="137">
        <v>211063.38</v>
      </c>
    </row>
    <row r="654" spans="1:5" ht="15.75" thickBot="1" x14ac:dyDescent="0.3">
      <c r="A654" s="132" t="s">
        <v>65</v>
      </c>
      <c r="B654" s="133" t="s">
        <v>26</v>
      </c>
      <c r="C654" s="134" t="s">
        <v>678</v>
      </c>
      <c r="D654" s="134" t="s">
        <v>679</v>
      </c>
      <c r="E654" s="135">
        <v>279</v>
      </c>
    </row>
    <row r="655" spans="1:5" ht="15.75" thickBot="1" x14ac:dyDescent="0.3">
      <c r="A655" s="132" t="s">
        <v>65</v>
      </c>
      <c r="B655" s="133" t="s">
        <v>26</v>
      </c>
      <c r="C655" s="352" t="s">
        <v>64</v>
      </c>
      <c r="D655" s="353"/>
      <c r="E655" s="137">
        <v>279</v>
      </c>
    </row>
    <row r="656" spans="1:5" ht="15.75" thickBot="1" x14ac:dyDescent="0.3">
      <c r="A656" s="132" t="s">
        <v>66</v>
      </c>
      <c r="B656" s="133" t="s">
        <v>67</v>
      </c>
      <c r="C656" s="134" t="s">
        <v>678</v>
      </c>
      <c r="D656" s="134" t="s">
        <v>679</v>
      </c>
      <c r="E656" s="135">
        <v>121242.89</v>
      </c>
    </row>
    <row r="657" spans="1:12" ht="15.75" thickBot="1" x14ac:dyDescent="0.3">
      <c r="A657" s="132" t="s">
        <v>66</v>
      </c>
      <c r="B657" s="133" t="s">
        <v>67</v>
      </c>
      <c r="C657" s="134" t="s">
        <v>681</v>
      </c>
      <c r="D657" s="134" t="s">
        <v>682</v>
      </c>
      <c r="E657" s="136">
        <v>165331.95000000001</v>
      </c>
    </row>
    <row r="658" spans="1:12" ht="15.75" thickBot="1" x14ac:dyDescent="0.3">
      <c r="A658" s="132" t="s">
        <v>66</v>
      </c>
      <c r="B658" s="133" t="s">
        <v>67</v>
      </c>
      <c r="C658" s="134" t="s">
        <v>687</v>
      </c>
      <c r="D658" s="134" t="s">
        <v>688</v>
      </c>
      <c r="E658" s="135">
        <v>2400</v>
      </c>
    </row>
    <row r="659" spans="1:12" ht="15.75" thickBot="1" x14ac:dyDescent="0.3">
      <c r="A659" s="132" t="s">
        <v>66</v>
      </c>
      <c r="B659" s="133" t="s">
        <v>67</v>
      </c>
      <c r="C659" s="352" t="s">
        <v>64</v>
      </c>
      <c r="D659" s="353"/>
      <c r="E659" s="137">
        <v>288974.84000000003</v>
      </c>
    </row>
    <row r="660" spans="1:12" ht="15.75" thickBot="1" x14ac:dyDescent="0.3">
      <c r="A660" s="132" t="s">
        <v>72</v>
      </c>
      <c r="B660" s="133" t="s">
        <v>73</v>
      </c>
      <c r="C660" s="134" t="s">
        <v>681</v>
      </c>
      <c r="D660" s="134" t="s">
        <v>682</v>
      </c>
      <c r="E660" s="135">
        <v>35997.46</v>
      </c>
    </row>
    <row r="661" spans="1:12" ht="15.75" thickBot="1" x14ac:dyDescent="0.3">
      <c r="A661" s="132" t="s">
        <v>72</v>
      </c>
      <c r="B661" s="133" t="s">
        <v>73</v>
      </c>
      <c r="C661" s="352" t="s">
        <v>64</v>
      </c>
      <c r="D661" s="353"/>
      <c r="E661" s="137">
        <v>35997.46</v>
      </c>
    </row>
    <row r="662" spans="1:12" ht="15.75" thickBot="1" x14ac:dyDescent="0.3">
      <c r="A662" s="132" t="s">
        <v>76</v>
      </c>
      <c r="B662" s="133" t="s">
        <v>77</v>
      </c>
      <c r="C662" s="134" t="s">
        <v>678</v>
      </c>
      <c r="D662" s="134" t="s">
        <v>679</v>
      </c>
      <c r="E662" s="135">
        <v>15748</v>
      </c>
    </row>
    <row r="663" spans="1:12" ht="15.75" thickBot="1" x14ac:dyDescent="0.3">
      <c r="A663" s="132" t="s">
        <v>76</v>
      </c>
      <c r="B663" s="133" t="s">
        <v>77</v>
      </c>
      <c r="C663" s="134" t="s">
        <v>687</v>
      </c>
      <c r="D663" s="134" t="s">
        <v>688</v>
      </c>
      <c r="E663" s="136">
        <v>20080</v>
      </c>
    </row>
    <row r="664" spans="1:12" ht="15.75" thickBot="1" x14ac:dyDescent="0.3">
      <c r="A664" s="132" t="s">
        <v>76</v>
      </c>
      <c r="B664" s="133" t="s">
        <v>77</v>
      </c>
      <c r="C664" s="352" t="s">
        <v>64</v>
      </c>
      <c r="D664" s="353"/>
      <c r="E664" s="137">
        <v>35828</v>
      </c>
    </row>
    <row r="665" spans="1:12" ht="15.75" thickBot="1" x14ac:dyDescent="0.3">
      <c r="A665" s="132" t="s">
        <v>80</v>
      </c>
      <c r="B665" s="133" t="s">
        <v>24</v>
      </c>
      <c r="C665" s="134" t="s">
        <v>681</v>
      </c>
      <c r="D665" s="134" t="s">
        <v>694</v>
      </c>
      <c r="E665" s="136">
        <v>2100</v>
      </c>
    </row>
    <row r="666" spans="1:12" ht="15.75" thickBot="1" x14ac:dyDescent="0.3">
      <c r="A666" s="132" t="s">
        <v>80</v>
      </c>
      <c r="B666" s="133" t="s">
        <v>24</v>
      </c>
      <c r="C666" s="134" t="s">
        <v>681</v>
      </c>
      <c r="D666" s="134" t="s">
        <v>682</v>
      </c>
      <c r="E666" s="135">
        <v>364017.38</v>
      </c>
    </row>
    <row r="667" spans="1:12" ht="15.75" thickBot="1" x14ac:dyDescent="0.3">
      <c r="A667" s="132" t="s">
        <v>80</v>
      </c>
      <c r="B667" s="133" t="s">
        <v>24</v>
      </c>
      <c r="C667" s="352" t="s">
        <v>64</v>
      </c>
      <c r="D667" s="353"/>
      <c r="E667" s="137">
        <v>366117.38</v>
      </c>
    </row>
    <row r="669" spans="1:12" ht="15.75" thickBot="1" x14ac:dyDescent="0.3"/>
    <row r="670" spans="1:12" ht="15.75" thickBot="1" x14ac:dyDescent="0.3">
      <c r="A670" s="296"/>
      <c r="B670" s="297"/>
      <c r="C670" s="297"/>
      <c r="D670" s="297"/>
      <c r="E670" s="297"/>
      <c r="F670" s="297"/>
      <c r="G670" s="297"/>
      <c r="H670" s="297"/>
      <c r="I670" s="297"/>
      <c r="J670" s="298"/>
      <c r="K670" s="140"/>
      <c r="L670" s="134" t="s">
        <v>95</v>
      </c>
    </row>
    <row r="671" spans="1:12" ht="15.75" thickBot="1" x14ac:dyDescent="0.3">
      <c r="A671" s="350" t="s">
        <v>94</v>
      </c>
      <c r="B671" s="351"/>
      <c r="C671" s="350" t="s">
        <v>93</v>
      </c>
      <c r="D671" s="351"/>
      <c r="E671" s="134" t="s">
        <v>188</v>
      </c>
      <c r="F671" s="350" t="s">
        <v>101</v>
      </c>
      <c r="G671" s="351"/>
      <c r="H671" s="350" t="s">
        <v>92</v>
      </c>
      <c r="I671" s="351"/>
      <c r="J671" s="134" t="s">
        <v>209</v>
      </c>
      <c r="K671" s="141"/>
      <c r="L671" s="140" t="s">
        <v>91</v>
      </c>
    </row>
    <row r="672" spans="1:12" ht="15.75" customHeight="1" thickBot="1" x14ac:dyDescent="0.3">
      <c r="A672" s="301" t="s">
        <v>104</v>
      </c>
      <c r="B672" s="303"/>
      <c r="C672" s="303"/>
      <c r="D672" s="303"/>
      <c r="E672" s="303"/>
      <c r="F672" s="303"/>
      <c r="G672" s="303"/>
      <c r="H672" s="303"/>
      <c r="I672" s="303"/>
      <c r="J672" s="303"/>
      <c r="K672" s="302"/>
      <c r="L672" s="137">
        <v>5881714.5099999998</v>
      </c>
    </row>
    <row r="673" spans="1:17" ht="34.5" thickBot="1" x14ac:dyDescent="0.3">
      <c r="A673" s="132" t="s">
        <v>88</v>
      </c>
      <c r="B673" s="133" t="s">
        <v>87</v>
      </c>
      <c r="C673" s="134" t="s">
        <v>56</v>
      </c>
      <c r="D673" s="134" t="s">
        <v>385</v>
      </c>
      <c r="E673" s="134" t="s">
        <v>530</v>
      </c>
      <c r="F673" s="134" t="s">
        <v>171</v>
      </c>
      <c r="G673" s="134" t="s">
        <v>172</v>
      </c>
      <c r="H673" s="134" t="s">
        <v>996</v>
      </c>
      <c r="I673" s="134" t="s">
        <v>997</v>
      </c>
      <c r="J673" s="134" t="s">
        <v>675</v>
      </c>
      <c r="K673" s="134" t="s">
        <v>676</v>
      </c>
      <c r="L673" s="136">
        <v>1250</v>
      </c>
    </row>
    <row r="674" spans="1:17" ht="15.75" thickBot="1" x14ac:dyDescent="0.3">
      <c r="A674" s="132" t="s">
        <v>88</v>
      </c>
      <c r="B674" s="133" t="s">
        <v>87</v>
      </c>
      <c r="C674" s="301" t="s">
        <v>64</v>
      </c>
      <c r="D674" s="303"/>
      <c r="E674" s="303"/>
      <c r="F674" s="303"/>
      <c r="G674" s="303"/>
      <c r="H674" s="303"/>
      <c r="I674" s="303"/>
      <c r="J674" s="303"/>
      <c r="K674" s="302"/>
      <c r="L674" s="137">
        <v>1250</v>
      </c>
    </row>
    <row r="675" spans="1:17" ht="23.25" thickBot="1" x14ac:dyDescent="0.3">
      <c r="A675" s="132" t="s">
        <v>76</v>
      </c>
      <c r="B675" s="133" t="s">
        <v>77</v>
      </c>
      <c r="C675" s="134" t="s">
        <v>56</v>
      </c>
      <c r="D675" s="134" t="s">
        <v>385</v>
      </c>
      <c r="E675" s="134" t="s">
        <v>526</v>
      </c>
      <c r="F675" s="134" t="s">
        <v>171</v>
      </c>
      <c r="G675" s="134" t="s">
        <v>172</v>
      </c>
      <c r="H675" s="134" t="s">
        <v>74</v>
      </c>
      <c r="I675" s="134" t="s">
        <v>75</v>
      </c>
      <c r="J675" s="134" t="s">
        <v>697</v>
      </c>
      <c r="K675" s="134" t="s">
        <v>698</v>
      </c>
      <c r="L675" s="135">
        <v>4050</v>
      </c>
    </row>
    <row r="676" spans="1:17" ht="15.75" thickBot="1" x14ac:dyDescent="0.3">
      <c r="A676" s="132" t="s">
        <v>76</v>
      </c>
      <c r="B676" s="133" t="s">
        <v>77</v>
      </c>
      <c r="C676" s="301" t="s">
        <v>64</v>
      </c>
      <c r="D676" s="303"/>
      <c r="E676" s="303"/>
      <c r="F676" s="303"/>
      <c r="G676" s="303"/>
      <c r="H676" s="303"/>
      <c r="I676" s="303"/>
      <c r="J676" s="303"/>
      <c r="K676" s="302"/>
      <c r="L676" s="137">
        <v>4050</v>
      </c>
    </row>
    <row r="677" spans="1:17" ht="23.25" thickBot="1" x14ac:dyDescent="0.3">
      <c r="A677" s="132" t="s">
        <v>80</v>
      </c>
      <c r="B677" s="133" t="s">
        <v>24</v>
      </c>
      <c r="C677" s="134" t="s">
        <v>56</v>
      </c>
      <c r="D677" s="134" t="s">
        <v>385</v>
      </c>
      <c r="E677" s="134" t="s">
        <v>526</v>
      </c>
      <c r="F677" s="134" t="s">
        <v>171</v>
      </c>
      <c r="G677" s="134" t="s">
        <v>172</v>
      </c>
      <c r="H677" s="134" t="s">
        <v>68</v>
      </c>
      <c r="I677" s="134" t="s">
        <v>69</v>
      </c>
      <c r="J677" s="134" t="s">
        <v>697</v>
      </c>
      <c r="K677" s="134" t="s">
        <v>698</v>
      </c>
      <c r="L677" s="136">
        <v>7026.17</v>
      </c>
    </row>
    <row r="678" spans="1:17" ht="34.5" thickBot="1" x14ac:dyDescent="0.3">
      <c r="A678" s="132" t="s">
        <v>80</v>
      </c>
      <c r="B678" s="133" t="s">
        <v>24</v>
      </c>
      <c r="C678" s="134" t="s">
        <v>804</v>
      </c>
      <c r="D678" s="134" t="s">
        <v>805</v>
      </c>
      <c r="E678" s="134" t="s">
        <v>514</v>
      </c>
      <c r="F678" s="134" t="s">
        <v>171</v>
      </c>
      <c r="G678" s="134" t="s">
        <v>172</v>
      </c>
      <c r="H678" s="134" t="s">
        <v>551</v>
      </c>
      <c r="I678" s="134" t="s">
        <v>552</v>
      </c>
      <c r="J678" s="134" t="s">
        <v>675</v>
      </c>
      <c r="K678" s="134" t="s">
        <v>676</v>
      </c>
      <c r="L678" s="136">
        <v>70547.98</v>
      </c>
    </row>
    <row r="679" spans="1:17" ht="15.75" thickBot="1" x14ac:dyDescent="0.3">
      <c r="A679" s="132" t="s">
        <v>80</v>
      </c>
      <c r="B679" s="133" t="s">
        <v>24</v>
      </c>
      <c r="C679" s="301" t="s">
        <v>64</v>
      </c>
      <c r="D679" s="303"/>
      <c r="E679" s="303"/>
      <c r="F679" s="303"/>
      <c r="G679" s="303"/>
      <c r="H679" s="303"/>
      <c r="I679" s="303"/>
      <c r="J679" s="303"/>
      <c r="K679" s="302"/>
      <c r="L679" s="137">
        <v>77574.149999999994</v>
      </c>
    </row>
    <row r="683" spans="1:17" ht="15.75" thickBot="1" x14ac:dyDescent="0.3">
      <c r="A683" s="80" t="s">
        <v>944</v>
      </c>
      <c r="L683" s="250" t="s">
        <v>945</v>
      </c>
      <c r="M683" s="250">
        <f>1+1.49/100</f>
        <v>1.0148999999999999</v>
      </c>
      <c r="N683" s="250">
        <f>1+0.97/100</f>
        <v>1.0097</v>
      </c>
    </row>
    <row r="684" spans="1:17" ht="23.25" thickBot="1" x14ac:dyDescent="0.3">
      <c r="A684" s="350" t="s">
        <v>935</v>
      </c>
      <c r="B684" s="351"/>
      <c r="C684" s="134" t="s">
        <v>936</v>
      </c>
      <c r="D684" s="134" t="s">
        <v>937</v>
      </c>
      <c r="E684" s="140"/>
      <c r="F684" s="262" t="s">
        <v>938</v>
      </c>
      <c r="G684" s="263" t="s">
        <v>939</v>
      </c>
      <c r="H684" s="263" t="s">
        <v>940</v>
      </c>
      <c r="L684" s="250" t="s">
        <v>946</v>
      </c>
      <c r="M684" s="250">
        <f>1+1.33/100</f>
        <v>1.0133000000000001</v>
      </c>
      <c r="N684" s="250">
        <f>1+0.72/100</f>
        <v>1.0072000000000001</v>
      </c>
    </row>
    <row r="685" spans="1:17" ht="15.75" thickBot="1" x14ac:dyDescent="0.3">
      <c r="A685" s="134" t="s">
        <v>116</v>
      </c>
      <c r="B685" s="134" t="s">
        <v>26</v>
      </c>
      <c r="C685" s="134" t="s">
        <v>941</v>
      </c>
      <c r="D685" s="134" t="s">
        <v>942</v>
      </c>
      <c r="E685" s="134" t="s">
        <v>943</v>
      </c>
      <c r="F685" s="136">
        <v>4983</v>
      </c>
      <c r="G685" s="136">
        <v>4018</v>
      </c>
      <c r="H685" s="136">
        <v>965</v>
      </c>
      <c r="L685" s="250" t="s">
        <v>947</v>
      </c>
      <c r="M685" s="250">
        <f>1+2.718/100</f>
        <v>1.02718</v>
      </c>
      <c r="N685" s="250">
        <f>1+1.151/100</f>
        <v>1.0115099999999999</v>
      </c>
    </row>
    <row r="686" spans="1:17" x14ac:dyDescent="0.25">
      <c r="F686" s="142">
        <f>+G686+H686</f>
        <v>5237.0859617814467</v>
      </c>
      <c r="G686" s="142">
        <f>+G685*$M$683*$M$684*$M$685</f>
        <v>4244.4144296230907</v>
      </c>
      <c r="H686" s="142">
        <f>+H685*$N$683*$N$684*$N$685</f>
        <v>992.67153215835606</v>
      </c>
      <c r="O686" s="265" t="s">
        <v>962</v>
      </c>
      <c r="P686" s="265" t="s">
        <v>963</v>
      </c>
      <c r="Q686" s="266" t="s">
        <v>964</v>
      </c>
    </row>
    <row r="687" spans="1:17" x14ac:dyDescent="0.25">
      <c r="A687" s="80" t="s">
        <v>987</v>
      </c>
      <c r="O687" s="268" t="s">
        <v>978</v>
      </c>
      <c r="P687" s="268" t="s">
        <v>979</v>
      </c>
      <c r="Q687" s="269">
        <v>1412058.46</v>
      </c>
    </row>
    <row r="688" spans="1:17" x14ac:dyDescent="0.25">
      <c r="A688" s="264" t="s">
        <v>948</v>
      </c>
      <c r="B688" s="265" t="s">
        <v>949</v>
      </c>
      <c r="C688" s="265" t="s">
        <v>950</v>
      </c>
      <c r="D688" s="265" t="s">
        <v>951</v>
      </c>
      <c r="E688" s="265" t="s">
        <v>952</v>
      </c>
      <c r="F688" s="265" t="s">
        <v>953</v>
      </c>
      <c r="G688" s="265" t="s">
        <v>954</v>
      </c>
      <c r="H688" s="265" t="s">
        <v>955</v>
      </c>
      <c r="I688" s="265" t="s">
        <v>956</v>
      </c>
      <c r="J688" s="265" t="s">
        <v>957</v>
      </c>
      <c r="K688" s="265" t="s">
        <v>958</v>
      </c>
      <c r="L688" s="265" t="s">
        <v>959</v>
      </c>
      <c r="M688" s="265" t="s">
        <v>960</v>
      </c>
      <c r="N688" s="265" t="s">
        <v>961</v>
      </c>
      <c r="O688" s="271" t="s">
        <v>978</v>
      </c>
      <c r="P688" s="271" t="s">
        <v>979</v>
      </c>
      <c r="Q688" s="272">
        <v>279465.89</v>
      </c>
    </row>
    <row r="689" spans="1:17" x14ac:dyDescent="0.25">
      <c r="A689" s="267" t="s">
        <v>965</v>
      </c>
      <c r="B689" s="268" t="s">
        <v>966</v>
      </c>
      <c r="C689" s="268" t="s">
        <v>967</v>
      </c>
      <c r="D689" s="268" t="s">
        <v>968</v>
      </c>
      <c r="E689" s="268" t="s">
        <v>969</v>
      </c>
      <c r="F689" s="268" t="s">
        <v>970</v>
      </c>
      <c r="G689" s="268" t="s">
        <v>971</v>
      </c>
      <c r="H689" s="268" t="s">
        <v>972</v>
      </c>
      <c r="I689" s="268" t="s">
        <v>973</v>
      </c>
      <c r="J689" s="268" t="s">
        <v>573</v>
      </c>
      <c r="K689" s="268" t="s">
        <v>974</v>
      </c>
      <c r="L689" s="268" t="s">
        <v>975</v>
      </c>
      <c r="M689" s="268" t="s">
        <v>976</v>
      </c>
      <c r="N689" s="268" t="s">
        <v>977</v>
      </c>
      <c r="O689" s="268" t="s">
        <v>978</v>
      </c>
      <c r="P689" s="268" t="s">
        <v>979</v>
      </c>
      <c r="Q689" s="273">
        <v>553.21</v>
      </c>
    </row>
    <row r="690" spans="1:17" x14ac:dyDescent="0.25">
      <c r="A690" s="270" t="s">
        <v>965</v>
      </c>
      <c r="B690" s="271" t="s">
        <v>966</v>
      </c>
      <c r="C690" s="271" t="s">
        <v>967</v>
      </c>
      <c r="D690" s="271" t="s">
        <v>968</v>
      </c>
      <c r="E690" s="271" t="s">
        <v>969</v>
      </c>
      <c r="F690" s="271" t="s">
        <v>970</v>
      </c>
      <c r="G690" s="271" t="s">
        <v>971</v>
      </c>
      <c r="H690" s="271" t="s">
        <v>972</v>
      </c>
      <c r="I690" s="271" t="s">
        <v>973</v>
      </c>
      <c r="J690" s="271" t="s">
        <v>573</v>
      </c>
      <c r="K690" s="271" t="s">
        <v>974</v>
      </c>
      <c r="L690" s="271" t="s">
        <v>975</v>
      </c>
      <c r="M690" s="271" t="s">
        <v>980</v>
      </c>
      <c r="N690" s="271" t="s">
        <v>977</v>
      </c>
      <c r="O690" s="271" t="s">
        <v>978</v>
      </c>
      <c r="P690" s="271" t="s">
        <v>979</v>
      </c>
      <c r="Q690" s="274">
        <v>156.52000000000001</v>
      </c>
    </row>
    <row r="691" spans="1:17" x14ac:dyDescent="0.25">
      <c r="A691" s="267" t="s">
        <v>965</v>
      </c>
      <c r="B691" s="268" t="s">
        <v>966</v>
      </c>
      <c r="C691" s="268" t="s">
        <v>967</v>
      </c>
      <c r="D691" s="268" t="s">
        <v>968</v>
      </c>
      <c r="E691" s="268" t="s">
        <v>969</v>
      </c>
      <c r="F691" s="268" t="s">
        <v>970</v>
      </c>
      <c r="G691" s="268" t="s">
        <v>971</v>
      </c>
      <c r="H691" s="268" t="s">
        <v>972</v>
      </c>
      <c r="I691" s="268" t="s">
        <v>973</v>
      </c>
      <c r="J691" s="268" t="s">
        <v>981</v>
      </c>
      <c r="K691" s="268" t="s">
        <v>982</v>
      </c>
      <c r="L691" s="268" t="s">
        <v>975</v>
      </c>
      <c r="M691" s="268" t="s">
        <v>976</v>
      </c>
      <c r="N691" s="268" t="s">
        <v>977</v>
      </c>
      <c r="O691" s="268" t="s">
        <v>978</v>
      </c>
      <c r="P691" s="268" t="s">
        <v>979</v>
      </c>
      <c r="Q691" s="269">
        <v>209415.91</v>
      </c>
    </row>
    <row r="692" spans="1:17" x14ac:dyDescent="0.25">
      <c r="A692" s="270" t="s">
        <v>965</v>
      </c>
      <c r="B692" s="271" t="s">
        <v>966</v>
      </c>
      <c r="C692" s="271" t="s">
        <v>967</v>
      </c>
      <c r="D692" s="271" t="s">
        <v>968</v>
      </c>
      <c r="E692" s="271" t="s">
        <v>969</v>
      </c>
      <c r="F692" s="271" t="s">
        <v>970</v>
      </c>
      <c r="G692" s="271" t="s">
        <v>971</v>
      </c>
      <c r="H692" s="271" t="s">
        <v>972</v>
      </c>
      <c r="I692" s="271" t="s">
        <v>973</v>
      </c>
      <c r="J692" s="271" t="s">
        <v>981</v>
      </c>
      <c r="K692" s="271" t="s">
        <v>982</v>
      </c>
      <c r="L692" s="271" t="s">
        <v>975</v>
      </c>
      <c r="M692" s="271" t="s">
        <v>980</v>
      </c>
      <c r="N692" s="271" t="s">
        <v>977</v>
      </c>
      <c r="O692" s="271" t="s">
        <v>978</v>
      </c>
      <c r="P692" s="271" t="s">
        <v>979</v>
      </c>
      <c r="Q692" s="272">
        <v>37367.57</v>
      </c>
    </row>
    <row r="693" spans="1:17" x14ac:dyDescent="0.25">
      <c r="A693" s="267" t="s">
        <v>965</v>
      </c>
      <c r="B693" s="268" t="s">
        <v>966</v>
      </c>
      <c r="C693" s="268" t="s">
        <v>967</v>
      </c>
      <c r="D693" s="268" t="s">
        <v>968</v>
      </c>
      <c r="E693" s="268" t="s">
        <v>969</v>
      </c>
      <c r="F693" s="268" t="s">
        <v>970</v>
      </c>
      <c r="G693" s="268" t="s">
        <v>971</v>
      </c>
      <c r="H693" s="268" t="s">
        <v>972</v>
      </c>
      <c r="I693" s="268" t="s">
        <v>973</v>
      </c>
      <c r="J693" s="268" t="s">
        <v>983</v>
      </c>
      <c r="K693" s="268" t="s">
        <v>984</v>
      </c>
      <c r="L693" s="268" t="s">
        <v>975</v>
      </c>
      <c r="M693" s="268" t="s">
        <v>976</v>
      </c>
      <c r="N693" s="268" t="s">
        <v>977</v>
      </c>
      <c r="O693" s="268" t="s">
        <v>978</v>
      </c>
      <c r="P693" s="268" t="s">
        <v>979</v>
      </c>
      <c r="Q693" s="269">
        <v>93938.880000000005</v>
      </c>
    </row>
    <row r="694" spans="1:17" x14ac:dyDescent="0.25">
      <c r="A694" s="270" t="s">
        <v>965</v>
      </c>
      <c r="B694" s="271" t="s">
        <v>966</v>
      </c>
      <c r="C694" s="271" t="s">
        <v>967</v>
      </c>
      <c r="D694" s="271" t="s">
        <v>968</v>
      </c>
      <c r="E694" s="271" t="s">
        <v>969</v>
      </c>
      <c r="F694" s="271" t="s">
        <v>970</v>
      </c>
      <c r="G694" s="271" t="s">
        <v>971</v>
      </c>
      <c r="H694" s="271" t="s">
        <v>972</v>
      </c>
      <c r="I694" s="271" t="s">
        <v>973</v>
      </c>
      <c r="J694" s="271" t="s">
        <v>983</v>
      </c>
      <c r="K694" s="271" t="s">
        <v>984</v>
      </c>
      <c r="L694" s="271" t="s">
        <v>975</v>
      </c>
      <c r="M694" s="271" t="s">
        <v>980</v>
      </c>
      <c r="N694" s="271" t="s">
        <v>977</v>
      </c>
      <c r="O694" s="271" t="s">
        <v>978</v>
      </c>
      <c r="P694" s="271" t="s">
        <v>979</v>
      </c>
      <c r="Q694" s="272">
        <v>7400.49</v>
      </c>
    </row>
    <row r="695" spans="1:17" x14ac:dyDescent="0.25">
      <c r="A695" s="267" t="s">
        <v>965</v>
      </c>
      <c r="B695" s="268" t="s">
        <v>966</v>
      </c>
      <c r="C695" s="268" t="s">
        <v>967</v>
      </c>
      <c r="D695" s="268" t="s">
        <v>968</v>
      </c>
      <c r="E695" s="268" t="s">
        <v>969</v>
      </c>
      <c r="F695" s="268" t="s">
        <v>970</v>
      </c>
      <c r="G695" s="268" t="s">
        <v>971</v>
      </c>
      <c r="H695" s="268" t="s">
        <v>972</v>
      </c>
      <c r="I695" s="268" t="s">
        <v>973</v>
      </c>
      <c r="J695" s="268" t="s">
        <v>985</v>
      </c>
      <c r="K695" s="268" t="s">
        <v>986</v>
      </c>
      <c r="L695" s="268" t="s">
        <v>975</v>
      </c>
      <c r="M695" s="268" t="s">
        <v>976</v>
      </c>
      <c r="N695" s="268" t="s">
        <v>977</v>
      </c>
      <c r="Q695" s="142">
        <f>SUM(Q687:Q694)</f>
        <v>2040356.93</v>
      </c>
    </row>
    <row r="696" spans="1:17" x14ac:dyDescent="0.25">
      <c r="A696" s="270" t="s">
        <v>965</v>
      </c>
      <c r="B696" s="271" t="s">
        <v>966</v>
      </c>
      <c r="C696" s="271" t="s">
        <v>967</v>
      </c>
      <c r="D696" s="271" t="s">
        <v>968</v>
      </c>
      <c r="E696" s="271" t="s">
        <v>969</v>
      </c>
      <c r="F696" s="271" t="s">
        <v>970</v>
      </c>
      <c r="G696" s="271" t="s">
        <v>971</v>
      </c>
      <c r="H696" s="271" t="s">
        <v>972</v>
      </c>
      <c r="I696" s="271" t="s">
        <v>973</v>
      </c>
      <c r="J696" s="271" t="s">
        <v>985</v>
      </c>
      <c r="K696" s="271" t="s">
        <v>986</v>
      </c>
      <c r="L696" s="271" t="s">
        <v>975</v>
      </c>
      <c r="M696" s="271" t="s">
        <v>980</v>
      </c>
      <c r="N696" s="271" t="s">
        <v>977</v>
      </c>
    </row>
    <row r="697" spans="1:17" ht="15.75" thickBot="1" x14ac:dyDescent="0.3"/>
    <row r="698" spans="1:17" ht="23.25" thickBot="1" x14ac:dyDescent="0.3">
      <c r="A698" s="347"/>
      <c r="B698" s="348"/>
      <c r="C698" s="349"/>
      <c r="D698" s="140"/>
      <c r="E698" s="134" t="s">
        <v>993</v>
      </c>
    </row>
    <row r="699" spans="1:17" ht="15.75" thickBot="1" x14ac:dyDescent="0.3">
      <c r="A699" s="350" t="s">
        <v>94</v>
      </c>
      <c r="B699" s="351"/>
      <c r="C699" s="134" t="s">
        <v>228</v>
      </c>
      <c r="D699" s="141"/>
      <c r="E699" s="140" t="s">
        <v>91</v>
      </c>
    </row>
    <row r="700" spans="1:17" ht="45.75" thickBot="1" x14ac:dyDescent="0.3">
      <c r="A700" s="139" t="s">
        <v>90</v>
      </c>
      <c r="B700" s="139" t="s">
        <v>89</v>
      </c>
      <c r="C700" s="134" t="s">
        <v>989</v>
      </c>
      <c r="D700" s="134" t="s">
        <v>988</v>
      </c>
      <c r="E700" s="136">
        <v>17585.62</v>
      </c>
    </row>
    <row r="701" spans="1:17" ht="45.75" thickBot="1" x14ac:dyDescent="0.3">
      <c r="A701" s="132" t="s">
        <v>65</v>
      </c>
      <c r="B701" s="133" t="s">
        <v>26</v>
      </c>
      <c r="C701" s="134" t="s">
        <v>989</v>
      </c>
      <c r="D701" s="134" t="s">
        <v>988</v>
      </c>
      <c r="E701" s="135">
        <v>17585.62</v>
      </c>
    </row>
    <row r="702" spans="1:17" ht="45.75" thickBot="1" x14ac:dyDescent="0.3">
      <c r="A702" s="215" t="s">
        <v>992</v>
      </c>
      <c r="B702" s="214" t="s">
        <v>26</v>
      </c>
      <c r="C702" s="134" t="s">
        <v>989</v>
      </c>
      <c r="D702" s="134" t="s">
        <v>988</v>
      </c>
      <c r="E702" s="136">
        <v>17585.62</v>
      </c>
    </row>
    <row r="703" spans="1:17" ht="45.75" thickBot="1" x14ac:dyDescent="0.3">
      <c r="A703" s="228" t="s">
        <v>991</v>
      </c>
      <c r="B703" s="214" t="s">
        <v>990</v>
      </c>
      <c r="C703" s="134" t="s">
        <v>989</v>
      </c>
      <c r="D703" s="134" t="s">
        <v>988</v>
      </c>
      <c r="E703" s="135">
        <v>17585.62</v>
      </c>
    </row>
    <row r="705" spans="1:8" ht="15.75" thickBot="1" x14ac:dyDescent="0.3"/>
    <row r="706" spans="1:8" x14ac:dyDescent="0.25">
      <c r="A706" s="367"/>
      <c r="B706" s="368"/>
      <c r="C706" s="368"/>
      <c r="D706" s="368"/>
      <c r="E706" s="368"/>
      <c r="F706" s="369"/>
      <c r="G706" s="373"/>
      <c r="H706" s="283" t="s">
        <v>95</v>
      </c>
    </row>
    <row r="707" spans="1:8" ht="23.25" thickBot="1" x14ac:dyDescent="0.3">
      <c r="A707" s="370"/>
      <c r="B707" s="371"/>
      <c r="C707" s="371"/>
      <c r="D707" s="371"/>
      <c r="E707" s="371"/>
      <c r="F707" s="372"/>
      <c r="G707" s="374"/>
      <c r="H707" s="284" t="s">
        <v>998</v>
      </c>
    </row>
    <row r="708" spans="1:8" ht="15.75" thickBot="1" x14ac:dyDescent="0.3">
      <c r="A708" s="375" t="s">
        <v>94</v>
      </c>
      <c r="B708" s="376"/>
      <c r="C708" s="375" t="s">
        <v>999</v>
      </c>
      <c r="D708" s="376"/>
      <c r="E708" s="375" t="s">
        <v>92</v>
      </c>
      <c r="F708" s="376"/>
      <c r="G708" s="284" t="s">
        <v>229</v>
      </c>
      <c r="H708" s="285" t="s">
        <v>91</v>
      </c>
    </row>
    <row r="709" spans="1:8" ht="23.25" thickBot="1" x14ac:dyDescent="0.3">
      <c r="A709" s="286" t="s">
        <v>714</v>
      </c>
      <c r="B709" s="287" t="s">
        <v>715</v>
      </c>
      <c r="C709" s="284" t="s">
        <v>1000</v>
      </c>
      <c r="D709" s="284" t="s">
        <v>1001</v>
      </c>
      <c r="E709" s="284">
        <v>204113</v>
      </c>
      <c r="F709" s="284" t="s">
        <v>1002</v>
      </c>
      <c r="G709" s="284" t="s">
        <v>1003</v>
      </c>
      <c r="H709" s="288">
        <v>25121506</v>
      </c>
    </row>
    <row r="710" spans="1:8" ht="23.25" thickBot="1" x14ac:dyDescent="0.3">
      <c r="A710" s="286" t="s">
        <v>714</v>
      </c>
      <c r="B710" s="287" t="s">
        <v>715</v>
      </c>
      <c r="C710" s="284" t="s">
        <v>1000</v>
      </c>
      <c r="D710" s="284" t="s">
        <v>1001</v>
      </c>
      <c r="E710" s="284">
        <v>204114</v>
      </c>
      <c r="F710" s="284" t="s">
        <v>1004</v>
      </c>
      <c r="G710" s="284" t="s">
        <v>1005</v>
      </c>
      <c r="H710" s="289">
        <v>480000</v>
      </c>
    </row>
    <row r="711" spans="1:8" ht="23.25" thickBot="1" x14ac:dyDescent="0.3">
      <c r="A711" s="286" t="s">
        <v>714</v>
      </c>
      <c r="B711" s="287" t="s">
        <v>715</v>
      </c>
      <c r="C711" s="284" t="s">
        <v>1000</v>
      </c>
      <c r="D711" s="284" t="s">
        <v>1001</v>
      </c>
      <c r="E711" s="363" t="s">
        <v>64</v>
      </c>
      <c r="F711" s="364"/>
      <c r="G711" s="365"/>
      <c r="H711" s="290">
        <v>25601506</v>
      </c>
    </row>
    <row r="712" spans="1:8" ht="23.25" thickBot="1" x14ac:dyDescent="0.3">
      <c r="A712" s="291" t="s">
        <v>1006</v>
      </c>
      <c r="B712" s="292" t="s">
        <v>1007</v>
      </c>
      <c r="C712" s="284" t="s">
        <v>1000</v>
      </c>
      <c r="D712" s="284" t="s">
        <v>1001</v>
      </c>
      <c r="E712" s="284">
        <v>204113</v>
      </c>
      <c r="F712" s="284" t="s">
        <v>1002</v>
      </c>
      <c r="G712" s="284" t="s">
        <v>1003</v>
      </c>
      <c r="H712" s="289">
        <v>25121506</v>
      </c>
    </row>
    <row r="713" spans="1:8" ht="23.25" thickBot="1" x14ac:dyDescent="0.3">
      <c r="A713" s="291" t="s">
        <v>1006</v>
      </c>
      <c r="B713" s="292" t="s">
        <v>1007</v>
      </c>
      <c r="C713" s="284" t="s">
        <v>1000</v>
      </c>
      <c r="D713" s="284" t="s">
        <v>1001</v>
      </c>
      <c r="E713" s="284">
        <v>204114</v>
      </c>
      <c r="F713" s="284" t="s">
        <v>1004</v>
      </c>
      <c r="G713" s="284" t="s">
        <v>1005</v>
      </c>
      <c r="H713" s="288">
        <v>480000</v>
      </c>
    </row>
    <row r="714" spans="1:8" ht="23.25" thickBot="1" x14ac:dyDescent="0.3">
      <c r="A714" s="291" t="s">
        <v>1006</v>
      </c>
      <c r="B714" s="292" t="s">
        <v>1007</v>
      </c>
      <c r="C714" s="284" t="s">
        <v>1000</v>
      </c>
      <c r="D714" s="284" t="s">
        <v>1001</v>
      </c>
      <c r="E714" s="363" t="s">
        <v>64</v>
      </c>
      <c r="F714" s="364"/>
      <c r="G714" s="365"/>
      <c r="H714" s="290">
        <v>25601506</v>
      </c>
    </row>
  </sheetData>
  <mergeCells count="258">
    <mergeCell ref="P479:P481"/>
    <mergeCell ref="P483:P484"/>
    <mergeCell ref="P487:P489"/>
    <mergeCell ref="A706:F707"/>
    <mergeCell ref="G706:G707"/>
    <mergeCell ref="A708:B708"/>
    <mergeCell ref="C708:D708"/>
    <mergeCell ref="E708:F708"/>
    <mergeCell ref="E711:G711"/>
    <mergeCell ref="C599:G599"/>
    <mergeCell ref="C614:D614"/>
    <mergeCell ref="C618:D618"/>
    <mergeCell ref="C620:D620"/>
    <mergeCell ref="C567:D567"/>
    <mergeCell ref="C569:D569"/>
    <mergeCell ref="C514:D514"/>
    <mergeCell ref="C578:D578"/>
    <mergeCell ref="A573:C573"/>
    <mergeCell ref="A574:B574"/>
    <mergeCell ref="C576:D576"/>
    <mergeCell ref="C529:D529"/>
    <mergeCell ref="A543:C543"/>
    <mergeCell ref="A544:B544"/>
    <mergeCell ref="A554:D554"/>
    <mergeCell ref="E714:G714"/>
    <mergeCell ref="A684:B684"/>
    <mergeCell ref="A698:C698"/>
    <mergeCell ref="A699:B699"/>
    <mergeCell ref="A643:C643"/>
    <mergeCell ref="A644:B644"/>
    <mergeCell ref="A583:F583"/>
    <mergeCell ref="A584:B584"/>
    <mergeCell ref="D584:E584"/>
    <mergeCell ref="F586:G586"/>
    <mergeCell ref="D587:G587"/>
    <mergeCell ref="F590:G590"/>
    <mergeCell ref="A602:C602"/>
    <mergeCell ref="A603:B603"/>
    <mergeCell ref="C610:D610"/>
    <mergeCell ref="C625:D625"/>
    <mergeCell ref="C632:D632"/>
    <mergeCell ref="C637:D637"/>
    <mergeCell ref="C640:D640"/>
    <mergeCell ref="D591:G591"/>
    <mergeCell ref="F593:G593"/>
    <mergeCell ref="D594:G594"/>
    <mergeCell ref="F597:G597"/>
    <mergeCell ref="D598:G598"/>
    <mergeCell ref="A564:C564"/>
    <mergeCell ref="A565:B565"/>
    <mergeCell ref="E494:F494"/>
    <mergeCell ref="E496:F496"/>
    <mergeCell ref="C497:F497"/>
    <mergeCell ref="A501:C501"/>
    <mergeCell ref="A502:B502"/>
    <mergeCell ref="E484:F484"/>
    <mergeCell ref="E486:F486"/>
    <mergeCell ref="E488:F488"/>
    <mergeCell ref="C489:F489"/>
    <mergeCell ref="E491:F491"/>
    <mergeCell ref="C492:F492"/>
    <mergeCell ref="E474:F474"/>
    <mergeCell ref="C475:F475"/>
    <mergeCell ref="E477:F477"/>
    <mergeCell ref="E479:F479"/>
    <mergeCell ref="E481:F481"/>
    <mergeCell ref="C482:F482"/>
    <mergeCell ref="E464:F464"/>
    <mergeCell ref="E466:F466"/>
    <mergeCell ref="E468:F468"/>
    <mergeCell ref="C469:F469"/>
    <mergeCell ref="E471:F471"/>
    <mergeCell ref="C472:F472"/>
    <mergeCell ref="E453:F453"/>
    <mergeCell ref="E455:F455"/>
    <mergeCell ref="E457:F457"/>
    <mergeCell ref="E459:F459"/>
    <mergeCell ref="E461:F461"/>
    <mergeCell ref="C462:F462"/>
    <mergeCell ref="C448:D448"/>
    <mergeCell ref="A440:C440"/>
    <mergeCell ref="A441:B441"/>
    <mergeCell ref="A450:E450"/>
    <mergeCell ref="A451:B451"/>
    <mergeCell ref="C451:D451"/>
    <mergeCell ref="E437:H437"/>
    <mergeCell ref="G428:H428"/>
    <mergeCell ref="E429:H429"/>
    <mergeCell ref="C430:H430"/>
    <mergeCell ref="E421:F421"/>
    <mergeCell ref="C422:F422"/>
    <mergeCell ref="G432:H432"/>
    <mergeCell ref="E433:H433"/>
    <mergeCell ref="C434:H434"/>
    <mergeCell ref="G436:H436"/>
    <mergeCell ref="A425:G425"/>
    <mergeCell ref="A426:B426"/>
    <mergeCell ref="C426:D426"/>
    <mergeCell ref="E426:F426"/>
    <mergeCell ref="E405:F405"/>
    <mergeCell ref="C406:F406"/>
    <mergeCell ref="E408:F408"/>
    <mergeCell ref="C409:F409"/>
    <mergeCell ref="E413:F413"/>
    <mergeCell ref="C414:F414"/>
    <mergeCell ref="A389:B389"/>
    <mergeCell ref="C389:D389"/>
    <mergeCell ref="E399:F399"/>
    <mergeCell ref="C400:F400"/>
    <mergeCell ref="E402:F402"/>
    <mergeCell ref="C403:F403"/>
    <mergeCell ref="E367:G367"/>
    <mergeCell ref="C368:G368"/>
    <mergeCell ref="C371:G371"/>
    <mergeCell ref="C383:G383"/>
    <mergeCell ref="C385:G385"/>
    <mergeCell ref="A388:E388"/>
    <mergeCell ref="C345:F345"/>
    <mergeCell ref="A347:F347"/>
    <mergeCell ref="A348:B348"/>
    <mergeCell ref="C348:D348"/>
    <mergeCell ref="E348:F348"/>
    <mergeCell ref="E352:G352"/>
    <mergeCell ref="E334:F334"/>
    <mergeCell ref="E336:F336"/>
    <mergeCell ref="E338:F338"/>
    <mergeCell ref="E340:F340"/>
    <mergeCell ref="E342:F342"/>
    <mergeCell ref="E344:F344"/>
    <mergeCell ref="C324:F324"/>
    <mergeCell ref="E326:F326"/>
    <mergeCell ref="C327:F327"/>
    <mergeCell ref="E329:F329"/>
    <mergeCell ref="C330:F330"/>
    <mergeCell ref="E332:F332"/>
    <mergeCell ref="C315:F315"/>
    <mergeCell ref="E317:F317"/>
    <mergeCell ref="C318:F318"/>
    <mergeCell ref="E320:F320"/>
    <mergeCell ref="C321:F321"/>
    <mergeCell ref="E323:F323"/>
    <mergeCell ref="E304:F304"/>
    <mergeCell ref="E306:F306"/>
    <mergeCell ref="E308:F308"/>
    <mergeCell ref="E310:F310"/>
    <mergeCell ref="E312:F312"/>
    <mergeCell ref="E314:F314"/>
    <mergeCell ref="A284:B284"/>
    <mergeCell ref="A285:B285"/>
    <mergeCell ref="A299:E299"/>
    <mergeCell ref="A300:B300"/>
    <mergeCell ref="C300:D300"/>
    <mergeCell ref="E302:F302"/>
    <mergeCell ref="A268:H268"/>
    <mergeCell ref="A269:B269"/>
    <mergeCell ref="D269:E269"/>
    <mergeCell ref="F269:G269"/>
    <mergeCell ref="D280:I280"/>
    <mergeCell ref="C281:I281"/>
    <mergeCell ref="I220:I225"/>
    <mergeCell ref="A258:F258"/>
    <mergeCell ref="A259:B259"/>
    <mergeCell ref="C259:D259"/>
    <mergeCell ref="E259:F259"/>
    <mergeCell ref="C265:G265"/>
    <mergeCell ref="C235:G235"/>
    <mergeCell ref="C239:G239"/>
    <mergeCell ref="C244:G244"/>
    <mergeCell ref="C250:G250"/>
    <mergeCell ref="C255:G255"/>
    <mergeCell ref="I254:I255"/>
    <mergeCell ref="A35:D35"/>
    <mergeCell ref="A36:B36"/>
    <mergeCell ref="D42:E42"/>
    <mergeCell ref="A121:B121"/>
    <mergeCell ref="A122:B122"/>
    <mergeCell ref="A67:C67"/>
    <mergeCell ref="A68:B68"/>
    <mergeCell ref="C85:D85"/>
    <mergeCell ref="C108:D108"/>
    <mergeCell ref="A103:C103"/>
    <mergeCell ref="A104:B104"/>
    <mergeCell ref="C106:D106"/>
    <mergeCell ref="A57:D57"/>
    <mergeCell ref="A58:B58"/>
    <mergeCell ref="D60:E60"/>
    <mergeCell ref="C61:E61"/>
    <mergeCell ref="D63:E63"/>
    <mergeCell ref="C64:E64"/>
    <mergeCell ref="C118:D118"/>
    <mergeCell ref="A111:C111"/>
    <mergeCell ref="A112:B112"/>
    <mergeCell ref="C114:D114"/>
    <mergeCell ref="C211:G211"/>
    <mergeCell ref="C219:G219"/>
    <mergeCell ref="C226:G226"/>
    <mergeCell ref="A2:E3"/>
    <mergeCell ref="A4:B4"/>
    <mergeCell ref="C4:D4"/>
    <mergeCell ref="D44:E44"/>
    <mergeCell ref="D46:E46"/>
    <mergeCell ref="D48:E48"/>
    <mergeCell ref="E7:F7"/>
    <mergeCell ref="C8:F8"/>
    <mergeCell ref="E11:F11"/>
    <mergeCell ref="C12:F12"/>
    <mergeCell ref="E14:F14"/>
    <mergeCell ref="C15:F15"/>
    <mergeCell ref="E30:F30"/>
    <mergeCell ref="C31:F31"/>
    <mergeCell ref="A32:F32"/>
    <mergeCell ref="E18:F18"/>
    <mergeCell ref="C19:F19"/>
    <mergeCell ref="E22:F22"/>
    <mergeCell ref="C23:F23"/>
    <mergeCell ref="E26:F26"/>
    <mergeCell ref="C27:F27"/>
    <mergeCell ref="D161:E161"/>
    <mergeCell ref="F161:G161"/>
    <mergeCell ref="A141:C141"/>
    <mergeCell ref="A142:B142"/>
    <mergeCell ref="C144:D144"/>
    <mergeCell ref="C146:D146"/>
    <mergeCell ref="C148:D148"/>
    <mergeCell ref="C150:D150"/>
    <mergeCell ref="A195:B195"/>
    <mergeCell ref="C195:D195"/>
    <mergeCell ref="E195:F195"/>
    <mergeCell ref="C174:H174"/>
    <mergeCell ref="C177:H177"/>
    <mergeCell ref="C179:H179"/>
    <mergeCell ref="C184:H184"/>
    <mergeCell ref="C191:H191"/>
    <mergeCell ref="A194:F194"/>
    <mergeCell ref="N464:P464"/>
    <mergeCell ref="N462:O462"/>
    <mergeCell ref="H44:I44"/>
    <mergeCell ref="I469:K469"/>
    <mergeCell ref="C649:D649"/>
    <mergeCell ref="A671:B671"/>
    <mergeCell ref="C671:D671"/>
    <mergeCell ref="F671:G671"/>
    <mergeCell ref="H671:I671"/>
    <mergeCell ref="C667:D667"/>
    <mergeCell ref="C653:D653"/>
    <mergeCell ref="C655:D655"/>
    <mergeCell ref="C659:D659"/>
    <mergeCell ref="C661:D661"/>
    <mergeCell ref="C664:D664"/>
    <mergeCell ref="D50:E50"/>
    <mergeCell ref="D52:E52"/>
    <mergeCell ref="D54:E54"/>
    <mergeCell ref="C152:D152"/>
    <mergeCell ref="C154:D154"/>
    <mergeCell ref="C156:D156"/>
    <mergeCell ref="C158:D158"/>
    <mergeCell ref="A160:G160"/>
    <mergeCell ref="A161:B161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1"/>
  <dimension ref="A1:L143"/>
  <sheetViews>
    <sheetView topLeftCell="A162" workbookViewId="0">
      <selection activeCell="J80" sqref="J80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192" customFormat="1" ht="15.75" thickBot="1" x14ac:dyDescent="0.3">
      <c r="A1" s="80" t="s">
        <v>160</v>
      </c>
    </row>
    <row r="2" spans="1:10" ht="15.75" thickBot="1" x14ac:dyDescent="0.3">
      <c r="A2" s="355"/>
      <c r="B2" s="356"/>
      <c r="C2" s="356"/>
      <c r="D2" s="356"/>
      <c r="E2" s="357"/>
      <c r="F2" s="140"/>
      <c r="G2" s="134" t="s">
        <v>95</v>
      </c>
      <c r="H2" s="134" t="s">
        <v>95</v>
      </c>
      <c r="I2" s="134" t="s">
        <v>95</v>
      </c>
      <c r="J2" s="134" t="s">
        <v>95</v>
      </c>
    </row>
    <row r="3" spans="1:10" ht="23.25" customHeight="1" thickBot="1" x14ac:dyDescent="0.3">
      <c r="A3" s="358"/>
      <c r="B3" s="359"/>
      <c r="C3" s="359"/>
      <c r="D3" s="359"/>
      <c r="E3" s="360"/>
      <c r="F3" s="140" t="s">
        <v>101</v>
      </c>
      <c r="G3" s="134" t="s">
        <v>102</v>
      </c>
      <c r="H3" s="134" t="s">
        <v>103</v>
      </c>
      <c r="I3" s="134" t="s">
        <v>187</v>
      </c>
      <c r="J3" s="143" t="s">
        <v>104</v>
      </c>
    </row>
    <row r="4" spans="1:10" ht="15.75" customHeight="1" thickBot="1" x14ac:dyDescent="0.3">
      <c r="A4" s="350" t="s">
        <v>105</v>
      </c>
      <c r="B4" s="351"/>
      <c r="C4" s="350" t="s">
        <v>188</v>
      </c>
      <c r="D4" s="351"/>
      <c r="E4" s="134" t="s">
        <v>92</v>
      </c>
      <c r="F4" s="141"/>
      <c r="G4" s="140" t="s">
        <v>91</v>
      </c>
      <c r="H4" s="140" t="s">
        <v>91</v>
      </c>
      <c r="I4" s="140" t="s">
        <v>91</v>
      </c>
      <c r="J4" s="144" t="s">
        <v>91</v>
      </c>
    </row>
    <row r="5" spans="1:10" ht="34.5" thickBot="1" x14ac:dyDescent="0.3">
      <c r="A5" s="134" t="s">
        <v>106</v>
      </c>
      <c r="B5" s="134" t="s">
        <v>107</v>
      </c>
      <c r="C5" s="134" t="s">
        <v>114</v>
      </c>
      <c r="D5" s="134" t="s">
        <v>189</v>
      </c>
      <c r="E5" s="134" t="s">
        <v>114</v>
      </c>
      <c r="F5" s="134" t="s">
        <v>115</v>
      </c>
      <c r="G5" s="136">
        <v>-1111846</v>
      </c>
      <c r="H5" s="145"/>
      <c r="I5" s="145"/>
      <c r="J5" s="137">
        <v>-1111846</v>
      </c>
    </row>
    <row r="6" spans="1:10" ht="34.5" thickBot="1" x14ac:dyDescent="0.3">
      <c r="A6" s="134" t="s">
        <v>106</v>
      </c>
      <c r="B6" s="134" t="s">
        <v>107</v>
      </c>
      <c r="C6" s="134" t="s">
        <v>114</v>
      </c>
      <c r="D6" s="134" t="s">
        <v>189</v>
      </c>
      <c r="E6" s="352" t="s">
        <v>64</v>
      </c>
      <c r="F6" s="353"/>
      <c r="G6" s="137">
        <v>-1111846</v>
      </c>
      <c r="H6" s="193"/>
      <c r="I6" s="193"/>
      <c r="J6" s="137">
        <v>-1111846</v>
      </c>
    </row>
    <row r="7" spans="1:10" ht="34.5" thickBot="1" x14ac:dyDescent="0.3">
      <c r="A7" s="134" t="s">
        <v>106</v>
      </c>
      <c r="B7" s="134" t="s">
        <v>107</v>
      </c>
      <c r="C7" s="134" t="s">
        <v>181</v>
      </c>
      <c r="D7" s="134" t="s">
        <v>182</v>
      </c>
      <c r="E7" s="134" t="s">
        <v>110</v>
      </c>
      <c r="F7" s="134" t="s">
        <v>111</v>
      </c>
      <c r="G7" s="145"/>
      <c r="H7" s="136">
        <v>-102199310</v>
      </c>
      <c r="I7" s="145"/>
      <c r="J7" s="137">
        <v>-102199310</v>
      </c>
    </row>
    <row r="8" spans="1:10" ht="34.5" thickBot="1" x14ac:dyDescent="0.3">
      <c r="A8" s="134" t="s">
        <v>106</v>
      </c>
      <c r="B8" s="134" t="s">
        <v>107</v>
      </c>
      <c r="C8" s="134" t="s">
        <v>181</v>
      </c>
      <c r="D8" s="134" t="s">
        <v>182</v>
      </c>
      <c r="E8" s="134" t="s">
        <v>112</v>
      </c>
      <c r="F8" s="134" t="s">
        <v>113</v>
      </c>
      <c r="G8" s="146"/>
      <c r="H8" s="135">
        <v>-4432248</v>
      </c>
      <c r="I8" s="146"/>
      <c r="J8" s="137">
        <v>-4432248</v>
      </c>
    </row>
    <row r="9" spans="1:10" ht="34.5" thickBot="1" x14ac:dyDescent="0.3">
      <c r="A9" s="134" t="s">
        <v>106</v>
      </c>
      <c r="B9" s="134" t="s">
        <v>107</v>
      </c>
      <c r="C9" s="134" t="s">
        <v>181</v>
      </c>
      <c r="D9" s="134" t="s">
        <v>182</v>
      </c>
      <c r="E9" s="352" t="s">
        <v>64</v>
      </c>
      <c r="F9" s="353"/>
      <c r="G9" s="193"/>
      <c r="H9" s="137">
        <v>-106631558</v>
      </c>
      <c r="I9" s="193"/>
      <c r="J9" s="137">
        <v>-106631558</v>
      </c>
    </row>
    <row r="10" spans="1:10" ht="34.5" thickBot="1" x14ac:dyDescent="0.3">
      <c r="A10" s="134" t="s">
        <v>106</v>
      </c>
      <c r="B10" s="134" t="s">
        <v>107</v>
      </c>
      <c r="C10" s="134" t="s">
        <v>190</v>
      </c>
      <c r="D10" s="134" t="s">
        <v>191</v>
      </c>
      <c r="E10" s="134" t="s">
        <v>108</v>
      </c>
      <c r="F10" s="134" t="s">
        <v>109</v>
      </c>
      <c r="G10" s="135">
        <v>-340930</v>
      </c>
      <c r="H10" s="146"/>
      <c r="I10" s="146"/>
      <c r="J10" s="137">
        <v>-340930</v>
      </c>
    </row>
    <row r="11" spans="1:10" ht="34.5" thickBot="1" x14ac:dyDescent="0.3">
      <c r="A11" s="134" t="s">
        <v>106</v>
      </c>
      <c r="B11" s="134" t="s">
        <v>107</v>
      </c>
      <c r="C11" s="134" t="s">
        <v>190</v>
      </c>
      <c r="D11" s="134" t="s">
        <v>191</v>
      </c>
      <c r="E11" s="352" t="s">
        <v>64</v>
      </c>
      <c r="F11" s="353"/>
      <c r="G11" s="137">
        <v>-340930</v>
      </c>
      <c r="H11" s="193"/>
      <c r="I11" s="193"/>
      <c r="J11" s="137">
        <v>-340930</v>
      </c>
    </row>
    <row r="12" spans="1:10" ht="34.5" thickBot="1" x14ac:dyDescent="0.3">
      <c r="A12" s="134" t="s">
        <v>106</v>
      </c>
      <c r="B12" s="134" t="s">
        <v>107</v>
      </c>
      <c r="C12" s="352" t="s">
        <v>64</v>
      </c>
      <c r="D12" s="354"/>
      <c r="E12" s="354"/>
      <c r="F12" s="353"/>
      <c r="G12" s="137">
        <v>-1452776</v>
      </c>
      <c r="H12" s="137">
        <v>-106631558</v>
      </c>
      <c r="I12" s="193"/>
      <c r="J12" s="137">
        <v>-108084334</v>
      </c>
    </row>
    <row r="13" spans="1:10" ht="23.25" thickBot="1" x14ac:dyDescent="0.3">
      <c r="A13" s="134" t="s">
        <v>116</v>
      </c>
      <c r="B13" s="134" t="s">
        <v>26</v>
      </c>
      <c r="C13" s="134" t="s">
        <v>114</v>
      </c>
      <c r="D13" s="134" t="s">
        <v>189</v>
      </c>
      <c r="E13" s="134" t="s">
        <v>114</v>
      </c>
      <c r="F13" s="134" t="s">
        <v>115</v>
      </c>
      <c r="G13" s="136">
        <v>-6694</v>
      </c>
      <c r="H13" s="145"/>
      <c r="I13" s="145"/>
      <c r="J13" s="137">
        <v>-6694</v>
      </c>
    </row>
    <row r="14" spans="1:10" ht="23.25" thickBot="1" x14ac:dyDescent="0.3">
      <c r="A14" s="134" t="s">
        <v>116</v>
      </c>
      <c r="B14" s="134" t="s">
        <v>26</v>
      </c>
      <c r="C14" s="134" t="s">
        <v>114</v>
      </c>
      <c r="D14" s="134" t="s">
        <v>189</v>
      </c>
      <c r="E14" s="352" t="s">
        <v>64</v>
      </c>
      <c r="F14" s="353"/>
      <c r="G14" s="137">
        <v>-6694</v>
      </c>
      <c r="H14" s="193"/>
      <c r="I14" s="193"/>
      <c r="J14" s="137">
        <v>-6694</v>
      </c>
    </row>
    <row r="15" spans="1:10" ht="23.25" thickBot="1" x14ac:dyDescent="0.3">
      <c r="A15" s="134" t="s">
        <v>116</v>
      </c>
      <c r="B15" s="134" t="s">
        <v>26</v>
      </c>
      <c r="C15" s="134" t="s">
        <v>181</v>
      </c>
      <c r="D15" s="134" t="s">
        <v>182</v>
      </c>
      <c r="E15" s="134" t="s">
        <v>117</v>
      </c>
      <c r="F15" s="134" t="s">
        <v>118</v>
      </c>
      <c r="G15" s="145"/>
      <c r="H15" s="136">
        <v>-45542</v>
      </c>
      <c r="I15" s="145"/>
      <c r="J15" s="137">
        <v>-45542</v>
      </c>
    </row>
    <row r="16" spans="1:10" ht="23.25" thickBot="1" x14ac:dyDescent="0.3">
      <c r="A16" s="134" t="s">
        <v>116</v>
      </c>
      <c r="B16" s="134" t="s">
        <v>26</v>
      </c>
      <c r="C16" s="134" t="s">
        <v>181</v>
      </c>
      <c r="D16" s="134" t="s">
        <v>182</v>
      </c>
      <c r="E16" s="134" t="s">
        <v>119</v>
      </c>
      <c r="F16" s="134" t="s">
        <v>120</v>
      </c>
      <c r="G16" s="146"/>
      <c r="H16" s="135">
        <v>-6083851</v>
      </c>
      <c r="I16" s="146"/>
      <c r="J16" s="137">
        <v>-6083851</v>
      </c>
    </row>
    <row r="17" spans="1:10" ht="23.25" thickBot="1" x14ac:dyDescent="0.3">
      <c r="A17" s="134" t="s">
        <v>116</v>
      </c>
      <c r="B17" s="134" t="s">
        <v>26</v>
      </c>
      <c r="C17" s="134" t="s">
        <v>181</v>
      </c>
      <c r="D17" s="134" t="s">
        <v>182</v>
      </c>
      <c r="E17" s="352" t="s">
        <v>64</v>
      </c>
      <c r="F17" s="353"/>
      <c r="G17" s="193"/>
      <c r="H17" s="137">
        <v>-6129393</v>
      </c>
      <c r="I17" s="193"/>
      <c r="J17" s="137">
        <v>-6129393</v>
      </c>
    </row>
    <row r="18" spans="1:10" ht="23.25" thickBot="1" x14ac:dyDescent="0.3">
      <c r="A18" s="134" t="s">
        <v>116</v>
      </c>
      <c r="B18" s="134" t="s">
        <v>26</v>
      </c>
      <c r="C18" s="134" t="s">
        <v>190</v>
      </c>
      <c r="D18" s="134" t="s">
        <v>191</v>
      </c>
      <c r="E18" s="134" t="s">
        <v>108</v>
      </c>
      <c r="F18" s="134" t="s">
        <v>109</v>
      </c>
      <c r="G18" s="135">
        <v>-1784742.95</v>
      </c>
      <c r="H18" s="146"/>
      <c r="I18" s="146"/>
      <c r="J18" s="137">
        <v>-1784742.95</v>
      </c>
    </row>
    <row r="19" spans="1:10" ht="23.25" thickBot="1" x14ac:dyDescent="0.3">
      <c r="A19" s="134" t="s">
        <v>116</v>
      </c>
      <c r="B19" s="134" t="s">
        <v>26</v>
      </c>
      <c r="C19" s="134" t="s">
        <v>190</v>
      </c>
      <c r="D19" s="134" t="s">
        <v>191</v>
      </c>
      <c r="E19" s="352" t="s">
        <v>64</v>
      </c>
      <c r="F19" s="353"/>
      <c r="G19" s="137">
        <v>-1784742.95</v>
      </c>
      <c r="H19" s="193"/>
      <c r="I19" s="193"/>
      <c r="J19" s="137">
        <v>-1784742.95</v>
      </c>
    </row>
    <row r="20" spans="1:10" ht="23.25" thickBot="1" x14ac:dyDescent="0.3">
      <c r="A20" s="134" t="s">
        <v>116</v>
      </c>
      <c r="B20" s="134" t="s">
        <v>26</v>
      </c>
      <c r="C20" s="352" t="s">
        <v>64</v>
      </c>
      <c r="D20" s="354"/>
      <c r="E20" s="354"/>
      <c r="F20" s="353"/>
      <c r="G20" s="137">
        <v>-1791436.95</v>
      </c>
      <c r="H20" s="137">
        <v>-6129393</v>
      </c>
      <c r="I20" s="193"/>
      <c r="J20" s="137">
        <v>-7920829.9500000002</v>
      </c>
    </row>
    <row r="21" spans="1:10" ht="34.5" thickBot="1" x14ac:dyDescent="0.3">
      <c r="A21" s="134" t="s">
        <v>121</v>
      </c>
      <c r="B21" s="134" t="s">
        <v>122</v>
      </c>
      <c r="C21" s="134" t="s">
        <v>114</v>
      </c>
      <c r="D21" s="134" t="s">
        <v>189</v>
      </c>
      <c r="E21" s="134" t="s">
        <v>114</v>
      </c>
      <c r="F21" s="134" t="s">
        <v>115</v>
      </c>
      <c r="G21" s="136">
        <v>-326252</v>
      </c>
      <c r="H21" s="145"/>
      <c r="I21" s="145"/>
      <c r="J21" s="137">
        <v>-326252</v>
      </c>
    </row>
    <row r="22" spans="1:10" ht="34.5" thickBot="1" x14ac:dyDescent="0.3">
      <c r="A22" s="134" t="s">
        <v>121</v>
      </c>
      <c r="B22" s="134" t="s">
        <v>122</v>
      </c>
      <c r="C22" s="134" t="s">
        <v>114</v>
      </c>
      <c r="D22" s="134" t="s">
        <v>189</v>
      </c>
      <c r="E22" s="352" t="s">
        <v>64</v>
      </c>
      <c r="F22" s="353"/>
      <c r="G22" s="137">
        <v>-326252</v>
      </c>
      <c r="H22" s="193"/>
      <c r="I22" s="193"/>
      <c r="J22" s="137">
        <v>-326252</v>
      </c>
    </row>
    <row r="23" spans="1:10" ht="34.5" thickBot="1" x14ac:dyDescent="0.3">
      <c r="A23" s="134" t="s">
        <v>121</v>
      </c>
      <c r="B23" s="134" t="s">
        <v>122</v>
      </c>
      <c r="C23" s="134" t="s">
        <v>203</v>
      </c>
      <c r="D23" s="134" t="s">
        <v>204</v>
      </c>
      <c r="E23" s="134" t="s">
        <v>203</v>
      </c>
      <c r="F23" s="134" t="s">
        <v>205</v>
      </c>
      <c r="G23" s="136">
        <v>-9952893</v>
      </c>
      <c r="H23" s="145"/>
      <c r="I23" s="145"/>
      <c r="J23" s="137">
        <v>-9952893</v>
      </c>
    </row>
    <row r="24" spans="1:10" ht="34.5" thickBot="1" x14ac:dyDescent="0.3">
      <c r="A24" s="134" t="s">
        <v>121</v>
      </c>
      <c r="B24" s="134" t="s">
        <v>122</v>
      </c>
      <c r="C24" s="134" t="s">
        <v>203</v>
      </c>
      <c r="D24" s="134" t="s">
        <v>204</v>
      </c>
      <c r="E24" s="352" t="s">
        <v>64</v>
      </c>
      <c r="F24" s="353"/>
      <c r="G24" s="137">
        <v>-9952893</v>
      </c>
      <c r="H24" s="193"/>
      <c r="I24" s="193"/>
      <c r="J24" s="137">
        <v>-9952893</v>
      </c>
    </row>
    <row r="25" spans="1:10" ht="34.5" thickBot="1" x14ac:dyDescent="0.3">
      <c r="A25" s="134" t="s">
        <v>121</v>
      </c>
      <c r="B25" s="134" t="s">
        <v>122</v>
      </c>
      <c r="C25" s="134" t="s">
        <v>181</v>
      </c>
      <c r="D25" s="134" t="s">
        <v>182</v>
      </c>
      <c r="E25" s="134" t="s">
        <v>110</v>
      </c>
      <c r="F25" s="134" t="s">
        <v>111</v>
      </c>
      <c r="G25" s="145"/>
      <c r="H25" s="136">
        <v>-127042631</v>
      </c>
      <c r="I25" s="145"/>
      <c r="J25" s="137">
        <v>-127042631</v>
      </c>
    </row>
    <row r="26" spans="1:10" ht="34.5" thickBot="1" x14ac:dyDescent="0.3">
      <c r="A26" s="134" t="s">
        <v>121</v>
      </c>
      <c r="B26" s="134" t="s">
        <v>122</v>
      </c>
      <c r="C26" s="134" t="s">
        <v>181</v>
      </c>
      <c r="D26" s="134" t="s">
        <v>182</v>
      </c>
      <c r="E26" s="134" t="s">
        <v>112</v>
      </c>
      <c r="F26" s="134" t="s">
        <v>113</v>
      </c>
      <c r="G26" s="146"/>
      <c r="H26" s="135">
        <v>-85296312</v>
      </c>
      <c r="I26" s="146"/>
      <c r="J26" s="137">
        <v>-85296312</v>
      </c>
    </row>
    <row r="27" spans="1:10" ht="34.5" thickBot="1" x14ac:dyDescent="0.3">
      <c r="A27" s="134" t="s">
        <v>121</v>
      </c>
      <c r="B27" s="134" t="s">
        <v>122</v>
      </c>
      <c r="C27" s="134" t="s">
        <v>181</v>
      </c>
      <c r="D27" s="134" t="s">
        <v>182</v>
      </c>
      <c r="E27" s="352" t="s">
        <v>64</v>
      </c>
      <c r="F27" s="353"/>
      <c r="G27" s="193"/>
      <c r="H27" s="137">
        <v>-212338943</v>
      </c>
      <c r="I27" s="193"/>
      <c r="J27" s="137">
        <v>-212338943</v>
      </c>
    </row>
    <row r="28" spans="1:10" ht="34.5" thickBot="1" x14ac:dyDescent="0.3">
      <c r="A28" s="134" t="s">
        <v>121</v>
      </c>
      <c r="B28" s="134" t="s">
        <v>122</v>
      </c>
      <c r="C28" s="134" t="s">
        <v>190</v>
      </c>
      <c r="D28" s="134" t="s">
        <v>191</v>
      </c>
      <c r="E28" s="134" t="s">
        <v>108</v>
      </c>
      <c r="F28" s="134" t="s">
        <v>109</v>
      </c>
      <c r="G28" s="135">
        <v>-2346050.02</v>
      </c>
      <c r="H28" s="146"/>
      <c r="I28" s="146"/>
      <c r="J28" s="137">
        <v>-2346050.02</v>
      </c>
    </row>
    <row r="29" spans="1:10" ht="34.5" thickBot="1" x14ac:dyDescent="0.3">
      <c r="A29" s="134" t="s">
        <v>121</v>
      </c>
      <c r="B29" s="134" t="s">
        <v>122</v>
      </c>
      <c r="C29" s="134" t="s">
        <v>190</v>
      </c>
      <c r="D29" s="134" t="s">
        <v>191</v>
      </c>
      <c r="E29" s="352" t="s">
        <v>64</v>
      </c>
      <c r="F29" s="353"/>
      <c r="G29" s="137">
        <v>-2346050.02</v>
      </c>
      <c r="H29" s="193"/>
      <c r="I29" s="193"/>
      <c r="J29" s="137">
        <v>-2346050.02</v>
      </c>
    </row>
    <row r="30" spans="1:10" ht="34.5" thickBot="1" x14ac:dyDescent="0.3">
      <c r="A30" s="134" t="s">
        <v>121</v>
      </c>
      <c r="B30" s="134" t="s">
        <v>122</v>
      </c>
      <c r="C30" s="352" t="s">
        <v>64</v>
      </c>
      <c r="D30" s="354"/>
      <c r="E30" s="354"/>
      <c r="F30" s="353"/>
      <c r="G30" s="137">
        <v>-12625195.02</v>
      </c>
      <c r="H30" s="137">
        <v>-212338943</v>
      </c>
      <c r="I30" s="193"/>
      <c r="J30" s="137">
        <v>-224964138.02000001</v>
      </c>
    </row>
    <row r="31" spans="1:10" ht="34.5" thickBot="1" x14ac:dyDescent="0.3">
      <c r="A31" s="134" t="s">
        <v>123</v>
      </c>
      <c r="B31" s="134" t="s">
        <v>124</v>
      </c>
      <c r="C31" s="134" t="s">
        <v>181</v>
      </c>
      <c r="D31" s="134" t="s">
        <v>182</v>
      </c>
      <c r="E31" s="134" t="s">
        <v>125</v>
      </c>
      <c r="F31" s="134" t="s">
        <v>126</v>
      </c>
      <c r="G31" s="145"/>
      <c r="H31" s="136">
        <v>-13468067</v>
      </c>
      <c r="I31" s="145"/>
      <c r="J31" s="137">
        <v>-13468067</v>
      </c>
    </row>
    <row r="32" spans="1:10" ht="34.5" thickBot="1" x14ac:dyDescent="0.3">
      <c r="A32" s="134" t="s">
        <v>123</v>
      </c>
      <c r="B32" s="134" t="s">
        <v>124</v>
      </c>
      <c r="C32" s="134" t="s">
        <v>181</v>
      </c>
      <c r="D32" s="134" t="s">
        <v>182</v>
      </c>
      <c r="E32" s="134" t="s">
        <v>112</v>
      </c>
      <c r="F32" s="134" t="s">
        <v>113</v>
      </c>
      <c r="G32" s="146"/>
      <c r="H32" s="135">
        <v>-22104360</v>
      </c>
      <c r="I32" s="146"/>
      <c r="J32" s="137">
        <v>-22104360</v>
      </c>
    </row>
    <row r="33" spans="1:10" ht="34.5" thickBot="1" x14ac:dyDescent="0.3">
      <c r="A33" s="134" t="s">
        <v>123</v>
      </c>
      <c r="B33" s="134" t="s">
        <v>124</v>
      </c>
      <c r="C33" s="134" t="s">
        <v>181</v>
      </c>
      <c r="D33" s="134" t="s">
        <v>182</v>
      </c>
      <c r="E33" s="134" t="s">
        <v>194</v>
      </c>
      <c r="F33" s="134" t="s">
        <v>128</v>
      </c>
      <c r="G33" s="145"/>
      <c r="H33" s="136">
        <v>-12843822</v>
      </c>
      <c r="I33" s="145"/>
      <c r="J33" s="137">
        <v>-12843822</v>
      </c>
    </row>
    <row r="34" spans="1:10" ht="34.5" thickBot="1" x14ac:dyDescent="0.3">
      <c r="A34" s="134" t="s">
        <v>123</v>
      </c>
      <c r="B34" s="134" t="s">
        <v>124</v>
      </c>
      <c r="C34" s="134" t="s">
        <v>181</v>
      </c>
      <c r="D34" s="134" t="s">
        <v>182</v>
      </c>
      <c r="E34" s="352" t="s">
        <v>64</v>
      </c>
      <c r="F34" s="353"/>
      <c r="G34" s="193"/>
      <c r="H34" s="137">
        <v>-48416249</v>
      </c>
      <c r="I34" s="193"/>
      <c r="J34" s="137">
        <v>-48416249</v>
      </c>
    </row>
    <row r="35" spans="1:10" ht="34.5" thickBot="1" x14ac:dyDescent="0.3">
      <c r="A35" s="134" t="s">
        <v>123</v>
      </c>
      <c r="B35" s="134" t="s">
        <v>124</v>
      </c>
      <c r="C35" s="134" t="s">
        <v>190</v>
      </c>
      <c r="D35" s="134" t="s">
        <v>191</v>
      </c>
      <c r="E35" s="134" t="s">
        <v>108</v>
      </c>
      <c r="F35" s="134" t="s">
        <v>109</v>
      </c>
      <c r="G35" s="136">
        <v>-738501</v>
      </c>
      <c r="H35" s="145"/>
      <c r="I35" s="145"/>
      <c r="J35" s="137">
        <v>-738501</v>
      </c>
    </row>
    <row r="36" spans="1:10" ht="34.5" thickBot="1" x14ac:dyDescent="0.3">
      <c r="A36" s="134" t="s">
        <v>123</v>
      </c>
      <c r="B36" s="134" t="s">
        <v>124</v>
      </c>
      <c r="C36" s="134" t="s">
        <v>190</v>
      </c>
      <c r="D36" s="134" t="s">
        <v>191</v>
      </c>
      <c r="E36" s="352" t="s">
        <v>64</v>
      </c>
      <c r="F36" s="353"/>
      <c r="G36" s="137">
        <v>-738501</v>
      </c>
      <c r="H36" s="193"/>
      <c r="I36" s="193"/>
      <c r="J36" s="137">
        <v>-738501</v>
      </c>
    </row>
    <row r="37" spans="1:10" ht="34.5" thickBot="1" x14ac:dyDescent="0.3">
      <c r="A37" s="134" t="s">
        <v>123</v>
      </c>
      <c r="B37" s="134" t="s">
        <v>124</v>
      </c>
      <c r="C37" s="352" t="s">
        <v>64</v>
      </c>
      <c r="D37" s="354"/>
      <c r="E37" s="354"/>
      <c r="F37" s="353"/>
      <c r="G37" s="137">
        <v>-738501</v>
      </c>
      <c r="H37" s="137">
        <v>-48416249</v>
      </c>
      <c r="I37" s="193"/>
      <c r="J37" s="137">
        <v>-49154750</v>
      </c>
    </row>
    <row r="38" spans="1:10" ht="34.5" thickBot="1" x14ac:dyDescent="0.3">
      <c r="A38" s="134" t="s">
        <v>131</v>
      </c>
      <c r="B38" s="134" t="s">
        <v>132</v>
      </c>
      <c r="C38" s="134" t="s">
        <v>181</v>
      </c>
      <c r="D38" s="134" t="s">
        <v>182</v>
      </c>
      <c r="E38" s="134" t="s">
        <v>110</v>
      </c>
      <c r="F38" s="134" t="s">
        <v>111</v>
      </c>
      <c r="G38" s="146"/>
      <c r="H38" s="135">
        <v>-108375753</v>
      </c>
      <c r="I38" s="146"/>
      <c r="J38" s="137">
        <v>-108375753</v>
      </c>
    </row>
    <row r="39" spans="1:10" ht="34.5" thickBot="1" x14ac:dyDescent="0.3">
      <c r="A39" s="134" t="s">
        <v>131</v>
      </c>
      <c r="B39" s="134" t="s">
        <v>132</v>
      </c>
      <c r="C39" s="134" t="s">
        <v>181</v>
      </c>
      <c r="D39" s="134" t="s">
        <v>182</v>
      </c>
      <c r="E39" s="134" t="s">
        <v>148</v>
      </c>
      <c r="F39" s="134" t="s">
        <v>149</v>
      </c>
      <c r="G39" s="145"/>
      <c r="H39" s="136">
        <v>1764869</v>
      </c>
      <c r="I39" s="145"/>
      <c r="J39" s="137">
        <v>1764869</v>
      </c>
    </row>
    <row r="40" spans="1:10" ht="34.5" thickBot="1" x14ac:dyDescent="0.3">
      <c r="A40" s="134" t="s">
        <v>131</v>
      </c>
      <c r="B40" s="134" t="s">
        <v>132</v>
      </c>
      <c r="C40" s="134" t="s">
        <v>181</v>
      </c>
      <c r="D40" s="134" t="s">
        <v>182</v>
      </c>
      <c r="E40" s="134" t="s">
        <v>112</v>
      </c>
      <c r="F40" s="134" t="s">
        <v>113</v>
      </c>
      <c r="G40" s="146"/>
      <c r="H40" s="135">
        <v>-57870016</v>
      </c>
      <c r="I40" s="146"/>
      <c r="J40" s="137">
        <v>-57870016</v>
      </c>
    </row>
    <row r="41" spans="1:10" ht="34.5" thickBot="1" x14ac:dyDescent="0.3">
      <c r="A41" s="134" t="s">
        <v>131</v>
      </c>
      <c r="B41" s="134" t="s">
        <v>132</v>
      </c>
      <c r="C41" s="134" t="s">
        <v>181</v>
      </c>
      <c r="D41" s="134" t="s">
        <v>182</v>
      </c>
      <c r="E41" s="134" t="s">
        <v>135</v>
      </c>
      <c r="F41" s="134" t="s">
        <v>136</v>
      </c>
      <c r="G41" s="145"/>
      <c r="H41" s="136">
        <v>-19308870</v>
      </c>
      <c r="I41" s="145"/>
      <c r="J41" s="137">
        <v>-19308870</v>
      </c>
    </row>
    <row r="42" spans="1:10" ht="34.5" thickBot="1" x14ac:dyDescent="0.3">
      <c r="A42" s="134" t="s">
        <v>131</v>
      </c>
      <c r="B42" s="134" t="s">
        <v>132</v>
      </c>
      <c r="C42" s="134" t="s">
        <v>181</v>
      </c>
      <c r="D42" s="134" t="s">
        <v>182</v>
      </c>
      <c r="E42" s="352" t="s">
        <v>64</v>
      </c>
      <c r="F42" s="353"/>
      <c r="G42" s="193"/>
      <c r="H42" s="137">
        <v>-183789770</v>
      </c>
      <c r="I42" s="193"/>
      <c r="J42" s="137">
        <v>-183789770</v>
      </c>
    </row>
    <row r="43" spans="1:10" ht="34.5" thickBot="1" x14ac:dyDescent="0.3">
      <c r="A43" s="134" t="s">
        <v>131</v>
      </c>
      <c r="B43" s="134" t="s">
        <v>132</v>
      </c>
      <c r="C43" s="134" t="s">
        <v>190</v>
      </c>
      <c r="D43" s="134" t="s">
        <v>191</v>
      </c>
      <c r="E43" s="134" t="s">
        <v>108</v>
      </c>
      <c r="F43" s="134" t="s">
        <v>109</v>
      </c>
      <c r="G43" s="136">
        <v>-838452.63</v>
      </c>
      <c r="H43" s="145"/>
      <c r="I43" s="145"/>
      <c r="J43" s="137">
        <v>-838452.63</v>
      </c>
    </row>
    <row r="44" spans="1:10" ht="34.5" thickBot="1" x14ac:dyDescent="0.3">
      <c r="A44" s="134" t="s">
        <v>131</v>
      </c>
      <c r="B44" s="134" t="s">
        <v>132</v>
      </c>
      <c r="C44" s="134" t="s">
        <v>190</v>
      </c>
      <c r="D44" s="134" t="s">
        <v>191</v>
      </c>
      <c r="E44" s="352" t="s">
        <v>64</v>
      </c>
      <c r="F44" s="353"/>
      <c r="G44" s="137">
        <v>-838452.63</v>
      </c>
      <c r="H44" s="193"/>
      <c r="I44" s="193"/>
      <c r="J44" s="137">
        <v>-838452.63</v>
      </c>
    </row>
    <row r="45" spans="1:10" ht="34.5" thickBot="1" x14ac:dyDescent="0.3">
      <c r="A45" s="134" t="s">
        <v>131</v>
      </c>
      <c r="B45" s="134" t="s">
        <v>132</v>
      </c>
      <c r="C45" s="352" t="s">
        <v>64</v>
      </c>
      <c r="D45" s="354"/>
      <c r="E45" s="354"/>
      <c r="F45" s="353"/>
      <c r="G45" s="137">
        <v>-838452.63</v>
      </c>
      <c r="H45" s="137">
        <v>-183789770</v>
      </c>
      <c r="I45" s="193"/>
      <c r="J45" s="137">
        <v>-184628222.63</v>
      </c>
    </row>
    <row r="46" spans="1:10" ht="23.25" thickBot="1" x14ac:dyDescent="0.3">
      <c r="A46" s="134" t="s">
        <v>139</v>
      </c>
      <c r="B46" s="134" t="s">
        <v>24</v>
      </c>
      <c r="C46" s="134" t="s">
        <v>181</v>
      </c>
      <c r="D46" s="134" t="s">
        <v>182</v>
      </c>
      <c r="E46" s="134" t="s">
        <v>125</v>
      </c>
      <c r="F46" s="134" t="s">
        <v>126</v>
      </c>
      <c r="G46" s="146"/>
      <c r="H46" s="135">
        <v>409403</v>
      </c>
      <c r="I46" s="146"/>
      <c r="J46" s="137">
        <v>409403</v>
      </c>
    </row>
    <row r="47" spans="1:10" ht="23.25" thickBot="1" x14ac:dyDescent="0.3">
      <c r="A47" s="134" t="s">
        <v>139</v>
      </c>
      <c r="B47" s="134" t="s">
        <v>24</v>
      </c>
      <c r="C47" s="134" t="s">
        <v>181</v>
      </c>
      <c r="D47" s="134" t="s">
        <v>182</v>
      </c>
      <c r="E47" s="134" t="s">
        <v>140</v>
      </c>
      <c r="F47" s="134" t="s">
        <v>141</v>
      </c>
      <c r="G47" s="145"/>
      <c r="H47" s="136">
        <v>-43049.599999999999</v>
      </c>
      <c r="I47" s="145"/>
      <c r="J47" s="137">
        <v>-43049.599999999999</v>
      </c>
    </row>
    <row r="48" spans="1:10" ht="23.25" thickBot="1" x14ac:dyDescent="0.3">
      <c r="A48" s="134" t="s">
        <v>139</v>
      </c>
      <c r="B48" s="134" t="s">
        <v>24</v>
      </c>
      <c r="C48" s="134" t="s">
        <v>181</v>
      </c>
      <c r="D48" s="134" t="s">
        <v>182</v>
      </c>
      <c r="E48" s="134" t="s">
        <v>133</v>
      </c>
      <c r="F48" s="134" t="s">
        <v>134</v>
      </c>
      <c r="G48" s="146"/>
      <c r="H48" s="135">
        <v>2337646</v>
      </c>
      <c r="I48" s="146"/>
      <c r="J48" s="137">
        <v>2337646</v>
      </c>
    </row>
    <row r="49" spans="1:12" ht="23.25" thickBot="1" x14ac:dyDescent="0.3">
      <c r="A49" s="134" t="s">
        <v>139</v>
      </c>
      <c r="B49" s="134" t="s">
        <v>24</v>
      </c>
      <c r="C49" s="134" t="s">
        <v>181</v>
      </c>
      <c r="D49" s="134" t="s">
        <v>182</v>
      </c>
      <c r="E49" s="134" t="s">
        <v>142</v>
      </c>
      <c r="F49" s="134" t="s">
        <v>143</v>
      </c>
      <c r="G49" s="145"/>
      <c r="H49" s="136">
        <v>32879</v>
      </c>
      <c r="I49" s="145"/>
      <c r="J49" s="137">
        <v>32879</v>
      </c>
    </row>
    <row r="50" spans="1:12" ht="23.25" thickBot="1" x14ac:dyDescent="0.3">
      <c r="A50" s="134" t="s">
        <v>139</v>
      </c>
      <c r="B50" s="134" t="s">
        <v>24</v>
      </c>
      <c r="C50" s="134" t="s">
        <v>181</v>
      </c>
      <c r="D50" s="134" t="s">
        <v>182</v>
      </c>
      <c r="E50" s="134" t="s">
        <v>146</v>
      </c>
      <c r="F50" s="134" t="s">
        <v>147</v>
      </c>
      <c r="G50" s="146"/>
      <c r="H50" s="135">
        <v>3685317</v>
      </c>
      <c r="I50" s="146"/>
      <c r="J50" s="137">
        <v>3685317</v>
      </c>
    </row>
    <row r="51" spans="1:12" ht="23.25" thickBot="1" x14ac:dyDescent="0.3">
      <c r="A51" s="134" t="s">
        <v>139</v>
      </c>
      <c r="B51" s="134" t="s">
        <v>24</v>
      </c>
      <c r="C51" s="134" t="s">
        <v>181</v>
      </c>
      <c r="D51" s="134" t="s">
        <v>182</v>
      </c>
      <c r="E51" s="134" t="s">
        <v>148</v>
      </c>
      <c r="F51" s="134" t="s">
        <v>150</v>
      </c>
      <c r="G51" s="145"/>
      <c r="H51" s="136">
        <v>216259</v>
      </c>
      <c r="I51" s="145"/>
      <c r="J51" s="137">
        <v>216259</v>
      </c>
    </row>
    <row r="52" spans="1:12" ht="23.25" thickBot="1" x14ac:dyDescent="0.3">
      <c r="A52" s="134" t="s">
        <v>139</v>
      </c>
      <c r="B52" s="134" t="s">
        <v>24</v>
      </c>
      <c r="C52" s="134" t="s">
        <v>181</v>
      </c>
      <c r="D52" s="134" t="s">
        <v>182</v>
      </c>
      <c r="E52" s="134" t="s">
        <v>148</v>
      </c>
      <c r="F52" s="134" t="s">
        <v>149</v>
      </c>
      <c r="G52" s="146"/>
      <c r="H52" s="135">
        <v>-228126234</v>
      </c>
      <c r="I52" s="146"/>
      <c r="J52" s="137">
        <v>-228126234</v>
      </c>
    </row>
    <row r="53" spans="1:12" ht="23.25" thickBot="1" x14ac:dyDescent="0.3">
      <c r="A53" s="134" t="s">
        <v>139</v>
      </c>
      <c r="B53" s="134" t="s">
        <v>24</v>
      </c>
      <c r="C53" s="134" t="s">
        <v>181</v>
      </c>
      <c r="D53" s="134" t="s">
        <v>182</v>
      </c>
      <c r="E53" s="134" t="s">
        <v>151</v>
      </c>
      <c r="F53" s="134" t="s">
        <v>152</v>
      </c>
      <c r="G53" s="145"/>
      <c r="H53" s="136">
        <v>-68502402.090000004</v>
      </c>
      <c r="I53" s="145"/>
      <c r="J53" s="137">
        <v>-68502402.090000004</v>
      </c>
    </row>
    <row r="54" spans="1:12" ht="23.25" thickBot="1" x14ac:dyDescent="0.3">
      <c r="A54" s="134" t="s">
        <v>139</v>
      </c>
      <c r="B54" s="134" t="s">
        <v>24</v>
      </c>
      <c r="C54" s="134" t="s">
        <v>181</v>
      </c>
      <c r="D54" s="134" t="s">
        <v>182</v>
      </c>
      <c r="E54" s="134" t="s">
        <v>153</v>
      </c>
      <c r="F54" s="134" t="s">
        <v>154</v>
      </c>
      <c r="G54" s="146"/>
      <c r="H54" s="135">
        <v>-403156479.57999998</v>
      </c>
      <c r="I54" s="146"/>
      <c r="J54" s="137">
        <v>-403156479.57999998</v>
      </c>
    </row>
    <row r="55" spans="1:12" ht="23.25" thickBot="1" x14ac:dyDescent="0.3">
      <c r="A55" s="134" t="s">
        <v>139</v>
      </c>
      <c r="B55" s="134" t="s">
        <v>24</v>
      </c>
      <c r="C55" s="134" t="s">
        <v>181</v>
      </c>
      <c r="D55" s="134" t="s">
        <v>182</v>
      </c>
      <c r="E55" s="134" t="s">
        <v>112</v>
      </c>
      <c r="F55" s="134" t="s">
        <v>113</v>
      </c>
      <c r="G55" s="145"/>
      <c r="H55" s="136">
        <v>-1260376664.8399999</v>
      </c>
      <c r="I55" s="145"/>
      <c r="J55" s="137">
        <v>-1260376664.8399999</v>
      </c>
    </row>
    <row r="56" spans="1:12" ht="23.25" thickBot="1" x14ac:dyDescent="0.3">
      <c r="A56" s="134" t="s">
        <v>139</v>
      </c>
      <c r="B56" s="134" t="s">
        <v>24</v>
      </c>
      <c r="C56" s="134" t="s">
        <v>181</v>
      </c>
      <c r="D56" s="134" t="s">
        <v>182</v>
      </c>
      <c r="E56" s="134" t="s">
        <v>135</v>
      </c>
      <c r="F56" s="134" t="s">
        <v>136</v>
      </c>
      <c r="G56" s="146"/>
      <c r="H56" s="135">
        <v>-25000250.789999999</v>
      </c>
      <c r="I56" s="146"/>
      <c r="J56" s="137">
        <v>-25000250.789999999</v>
      </c>
    </row>
    <row r="57" spans="1:12" ht="23.25" thickBot="1" x14ac:dyDescent="0.3">
      <c r="A57" s="134" t="s">
        <v>139</v>
      </c>
      <c r="B57" s="134" t="s">
        <v>24</v>
      </c>
      <c r="C57" s="134" t="s">
        <v>181</v>
      </c>
      <c r="D57" s="134" t="s">
        <v>182</v>
      </c>
      <c r="E57" s="134" t="s">
        <v>137</v>
      </c>
      <c r="F57" s="134" t="s">
        <v>138</v>
      </c>
      <c r="G57" s="145"/>
      <c r="H57" s="136">
        <v>594920.02</v>
      </c>
      <c r="I57" s="145"/>
      <c r="J57" s="137">
        <v>594920.02</v>
      </c>
    </row>
    <row r="58" spans="1:12" ht="23.25" thickBot="1" x14ac:dyDescent="0.3">
      <c r="A58" s="134" t="s">
        <v>139</v>
      </c>
      <c r="B58" s="134" t="s">
        <v>24</v>
      </c>
      <c r="C58" s="134" t="s">
        <v>181</v>
      </c>
      <c r="D58" s="134" t="s">
        <v>182</v>
      </c>
      <c r="E58" s="134" t="s">
        <v>155</v>
      </c>
      <c r="F58" s="134" t="s">
        <v>156</v>
      </c>
      <c r="G58" s="146"/>
      <c r="H58" s="135">
        <v>6079696</v>
      </c>
      <c r="I58" s="146"/>
      <c r="J58" s="137">
        <v>6079696</v>
      </c>
    </row>
    <row r="59" spans="1:12" ht="23.25" thickBot="1" x14ac:dyDescent="0.3">
      <c r="A59" s="134" t="s">
        <v>139</v>
      </c>
      <c r="B59" s="134" t="s">
        <v>24</v>
      </c>
      <c r="C59" s="134" t="s">
        <v>181</v>
      </c>
      <c r="D59" s="134" t="s">
        <v>182</v>
      </c>
      <c r="E59" s="134" t="s">
        <v>157</v>
      </c>
      <c r="F59" s="134" t="s">
        <v>158</v>
      </c>
      <c r="G59" s="145"/>
      <c r="H59" s="136">
        <v>-73720935.489999995</v>
      </c>
      <c r="I59" s="145"/>
      <c r="J59" s="137">
        <v>-73720935.489999995</v>
      </c>
    </row>
    <row r="60" spans="1:12" ht="23.25" thickBot="1" x14ac:dyDescent="0.3">
      <c r="A60" s="134" t="s">
        <v>139</v>
      </c>
      <c r="B60" s="134" t="s">
        <v>24</v>
      </c>
      <c r="C60" s="134" t="s">
        <v>181</v>
      </c>
      <c r="D60" s="134" t="s">
        <v>182</v>
      </c>
      <c r="E60" s="134" t="s">
        <v>157</v>
      </c>
      <c r="F60" s="134" t="s">
        <v>159</v>
      </c>
      <c r="G60" s="146"/>
      <c r="H60" s="135">
        <v>-263514021</v>
      </c>
      <c r="I60" s="146"/>
      <c r="J60" s="137">
        <v>-263514021</v>
      </c>
    </row>
    <row r="61" spans="1:12" ht="23.25" thickBot="1" x14ac:dyDescent="0.3">
      <c r="A61" s="134" t="s">
        <v>139</v>
      </c>
      <c r="B61" s="134" t="s">
        <v>24</v>
      </c>
      <c r="C61" s="134" t="s">
        <v>181</v>
      </c>
      <c r="D61" s="134" t="s">
        <v>182</v>
      </c>
      <c r="E61" s="134" t="s">
        <v>194</v>
      </c>
      <c r="F61" s="134" t="s">
        <v>128</v>
      </c>
      <c r="G61" s="145"/>
      <c r="H61" s="136">
        <v>-885419.4</v>
      </c>
      <c r="I61" s="145"/>
      <c r="J61" s="137">
        <v>-885419.4</v>
      </c>
    </row>
    <row r="62" spans="1:12" ht="23.25" thickBot="1" x14ac:dyDescent="0.3">
      <c r="A62" s="134" t="s">
        <v>139</v>
      </c>
      <c r="B62" s="134" t="s">
        <v>24</v>
      </c>
      <c r="C62" s="134" t="s">
        <v>181</v>
      </c>
      <c r="D62" s="134" t="s">
        <v>182</v>
      </c>
      <c r="E62" s="134" t="s">
        <v>129</v>
      </c>
      <c r="F62" s="134" t="s">
        <v>130</v>
      </c>
      <c r="G62" s="146"/>
      <c r="H62" s="135">
        <v>-1663521.55</v>
      </c>
      <c r="I62" s="146"/>
      <c r="J62" s="137">
        <v>-1663521.55</v>
      </c>
    </row>
    <row r="63" spans="1:12" ht="23.25" thickBot="1" x14ac:dyDescent="0.3">
      <c r="A63" s="134" t="s">
        <v>139</v>
      </c>
      <c r="B63" s="134" t="s">
        <v>24</v>
      </c>
      <c r="C63" s="134" t="s">
        <v>181</v>
      </c>
      <c r="D63" s="134" t="s">
        <v>182</v>
      </c>
      <c r="E63" s="352" t="s">
        <v>64</v>
      </c>
      <c r="F63" s="353"/>
      <c r="G63" s="193"/>
      <c r="H63" s="137">
        <v>-2311632858.3200002</v>
      </c>
      <c r="I63" s="193"/>
      <c r="J63" s="137">
        <v>-2311632858.3200002</v>
      </c>
    </row>
    <row r="64" spans="1:12" ht="23.25" thickBot="1" x14ac:dyDescent="0.3">
      <c r="A64" s="134" t="s">
        <v>139</v>
      </c>
      <c r="B64" s="134" t="s">
        <v>24</v>
      </c>
      <c r="C64" s="352" t="s">
        <v>64</v>
      </c>
      <c r="D64" s="354"/>
      <c r="E64" s="354"/>
      <c r="F64" s="353"/>
      <c r="G64" s="137">
        <v>-376934</v>
      </c>
      <c r="H64" s="137">
        <v>-2311632858.3200002</v>
      </c>
      <c r="I64" s="193"/>
      <c r="J64" s="137">
        <f>+J63</f>
        <v>-2311632858.3200002</v>
      </c>
      <c r="L64" s="2"/>
    </row>
    <row r="65" spans="1:10" ht="34.5" thickBot="1" x14ac:dyDescent="0.3">
      <c r="A65" s="134" t="s">
        <v>195</v>
      </c>
      <c r="B65" s="134" t="s">
        <v>196</v>
      </c>
      <c r="C65" s="134" t="s">
        <v>181</v>
      </c>
      <c r="D65" s="134" t="s">
        <v>182</v>
      </c>
      <c r="E65" s="134" t="s">
        <v>125</v>
      </c>
      <c r="F65" s="134" t="s">
        <v>126</v>
      </c>
      <c r="G65" s="145"/>
      <c r="H65" s="136">
        <v>-6476099</v>
      </c>
      <c r="I65" s="145"/>
      <c r="J65" s="137">
        <v>-6476099</v>
      </c>
    </row>
    <row r="66" spans="1:10" ht="34.5" thickBot="1" x14ac:dyDescent="0.3">
      <c r="A66" s="134" t="s">
        <v>195</v>
      </c>
      <c r="B66" s="134" t="s">
        <v>196</v>
      </c>
      <c r="C66" s="134" t="s">
        <v>181</v>
      </c>
      <c r="D66" s="134" t="s">
        <v>182</v>
      </c>
      <c r="E66" s="134" t="s">
        <v>197</v>
      </c>
      <c r="F66" s="134" t="s">
        <v>198</v>
      </c>
      <c r="G66" s="146"/>
      <c r="H66" s="135">
        <v>-23966568</v>
      </c>
      <c r="I66" s="146"/>
      <c r="J66" s="137">
        <v>-23966568</v>
      </c>
    </row>
    <row r="67" spans="1:10" ht="34.5" thickBot="1" x14ac:dyDescent="0.3">
      <c r="A67" s="134" t="s">
        <v>195</v>
      </c>
      <c r="B67" s="134" t="s">
        <v>196</v>
      </c>
      <c r="C67" s="134" t="s">
        <v>181</v>
      </c>
      <c r="D67" s="134" t="s">
        <v>182</v>
      </c>
      <c r="E67" s="134" t="s">
        <v>199</v>
      </c>
      <c r="F67" s="134" t="s">
        <v>200</v>
      </c>
      <c r="G67" s="145"/>
      <c r="H67" s="136">
        <v>-2470579</v>
      </c>
      <c r="I67" s="145"/>
      <c r="J67" s="137">
        <v>-2470579</v>
      </c>
    </row>
    <row r="68" spans="1:10" ht="34.5" thickBot="1" x14ac:dyDescent="0.3">
      <c r="A68" s="134" t="s">
        <v>195</v>
      </c>
      <c r="B68" s="134" t="s">
        <v>196</v>
      </c>
      <c r="C68" s="134" t="s">
        <v>181</v>
      </c>
      <c r="D68" s="134" t="s">
        <v>182</v>
      </c>
      <c r="E68" s="134" t="s">
        <v>112</v>
      </c>
      <c r="F68" s="134" t="s">
        <v>113</v>
      </c>
      <c r="G68" s="146"/>
      <c r="H68" s="135">
        <v>-15145535</v>
      </c>
      <c r="I68" s="146"/>
      <c r="J68" s="137">
        <v>-15145535</v>
      </c>
    </row>
    <row r="69" spans="1:10" ht="34.5" thickBot="1" x14ac:dyDescent="0.3">
      <c r="A69" s="134" t="s">
        <v>195</v>
      </c>
      <c r="B69" s="134" t="s">
        <v>196</v>
      </c>
      <c r="C69" s="134" t="s">
        <v>181</v>
      </c>
      <c r="D69" s="134" t="s">
        <v>182</v>
      </c>
      <c r="E69" s="134" t="s">
        <v>194</v>
      </c>
      <c r="F69" s="134" t="s">
        <v>128</v>
      </c>
      <c r="G69" s="145"/>
      <c r="H69" s="136">
        <v>-34744969</v>
      </c>
      <c r="I69" s="145"/>
      <c r="J69" s="137">
        <v>-34744969</v>
      </c>
    </row>
    <row r="70" spans="1:10" ht="34.5" thickBot="1" x14ac:dyDescent="0.3">
      <c r="A70" s="134" t="s">
        <v>195</v>
      </c>
      <c r="B70" s="134" t="s">
        <v>196</v>
      </c>
      <c r="C70" s="134" t="s">
        <v>181</v>
      </c>
      <c r="D70" s="134" t="s">
        <v>182</v>
      </c>
      <c r="E70" s="352" t="s">
        <v>64</v>
      </c>
      <c r="F70" s="353"/>
      <c r="G70" s="193"/>
      <c r="H70" s="137">
        <v>-82803750</v>
      </c>
      <c r="I70" s="193"/>
      <c r="J70" s="137">
        <v>-82803750</v>
      </c>
    </row>
    <row r="71" spans="1:10" ht="34.5" thickBot="1" x14ac:dyDescent="0.3">
      <c r="A71" s="134" t="s">
        <v>195</v>
      </c>
      <c r="B71" s="134" t="s">
        <v>196</v>
      </c>
      <c r="C71" s="134" t="s">
        <v>190</v>
      </c>
      <c r="D71" s="134" t="s">
        <v>191</v>
      </c>
      <c r="E71" s="134" t="s">
        <v>192</v>
      </c>
      <c r="F71" s="134" t="s">
        <v>193</v>
      </c>
      <c r="G71" s="145"/>
      <c r="H71" s="145"/>
      <c r="I71" s="136">
        <v>-52226</v>
      </c>
      <c r="J71" s="137">
        <v>-52226</v>
      </c>
    </row>
    <row r="72" spans="1:10" ht="34.5" thickBot="1" x14ac:dyDescent="0.3">
      <c r="A72" s="134" t="s">
        <v>195</v>
      </c>
      <c r="B72" s="134" t="s">
        <v>196</v>
      </c>
      <c r="C72" s="134" t="s">
        <v>190</v>
      </c>
      <c r="D72" s="134" t="s">
        <v>191</v>
      </c>
      <c r="E72" s="134" t="s">
        <v>206</v>
      </c>
      <c r="F72" s="134" t="s">
        <v>207</v>
      </c>
      <c r="G72" s="146"/>
      <c r="H72" s="146"/>
      <c r="I72" s="135">
        <v>-699141</v>
      </c>
      <c r="J72" s="137">
        <v>-699141</v>
      </c>
    </row>
    <row r="73" spans="1:10" ht="34.5" thickBot="1" x14ac:dyDescent="0.3">
      <c r="A73" s="134" t="s">
        <v>195</v>
      </c>
      <c r="B73" s="134" t="s">
        <v>196</v>
      </c>
      <c r="C73" s="134" t="s">
        <v>190</v>
      </c>
      <c r="D73" s="134" t="s">
        <v>191</v>
      </c>
      <c r="E73" s="134" t="s">
        <v>201</v>
      </c>
      <c r="F73" s="134" t="s">
        <v>202</v>
      </c>
      <c r="G73" s="145"/>
      <c r="H73" s="145"/>
      <c r="I73" s="136">
        <v>-434948</v>
      </c>
      <c r="J73" s="137">
        <v>-434948</v>
      </c>
    </row>
    <row r="74" spans="1:10" ht="34.5" thickBot="1" x14ac:dyDescent="0.3">
      <c r="A74" s="134" t="s">
        <v>195</v>
      </c>
      <c r="B74" s="134" t="s">
        <v>196</v>
      </c>
      <c r="C74" s="134" t="s">
        <v>190</v>
      </c>
      <c r="D74" s="134" t="s">
        <v>191</v>
      </c>
      <c r="E74" s="352" t="s">
        <v>64</v>
      </c>
      <c r="F74" s="353"/>
      <c r="G74" s="193"/>
      <c r="H74" s="193"/>
      <c r="I74" s="137">
        <v>-1186315</v>
      </c>
      <c r="J74" s="137">
        <v>-1186315</v>
      </c>
    </row>
    <row r="75" spans="1:10" ht="34.5" thickBot="1" x14ac:dyDescent="0.3">
      <c r="A75" s="134" t="s">
        <v>195</v>
      </c>
      <c r="B75" s="134" t="s">
        <v>196</v>
      </c>
      <c r="C75" s="352" t="s">
        <v>64</v>
      </c>
      <c r="D75" s="354"/>
      <c r="E75" s="354"/>
      <c r="F75" s="353"/>
      <c r="G75" s="193"/>
      <c r="H75" s="137">
        <v>-82803750</v>
      </c>
      <c r="I75" s="137">
        <v>-1186315</v>
      </c>
      <c r="J75" s="137">
        <v>-83990065</v>
      </c>
    </row>
    <row r="76" spans="1:10" ht="15.75" thickBot="1" x14ac:dyDescent="0.3">
      <c r="A76" s="352" t="s">
        <v>104</v>
      </c>
      <c r="B76" s="354"/>
      <c r="C76" s="354"/>
      <c r="D76" s="354"/>
      <c r="E76" s="354"/>
      <c r="F76" s="353"/>
      <c r="G76" s="137">
        <v>-17823295.600000001</v>
      </c>
      <c r="H76" s="137">
        <v>-2951742521.3200002</v>
      </c>
      <c r="I76" s="137">
        <v>-1186315</v>
      </c>
      <c r="J76" s="137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42">
        <f>+'Skema 6'!E23+'Skema 6'!E66+'Skema 6'!E67+'Skema 6'!E109+'Skema 6'!E110+'Skema 6'!E152+'Skema 6'!E153+'Skema 6'!E195+'Skema 6'!E196+'Skema 6'!E238+'Skema 6'!E239</f>
        <v>-2886755.3729200005</v>
      </c>
    </row>
    <row r="81" spans="1:10" x14ac:dyDescent="0.25">
      <c r="J81" s="142">
        <f>+J78-J80*1000</f>
        <v>-83990064.999999523</v>
      </c>
    </row>
    <row r="85" spans="1:10" ht="34.5" x14ac:dyDescent="0.25">
      <c r="A85" s="194" t="s">
        <v>208</v>
      </c>
      <c r="B85" s="192"/>
      <c r="C85" s="192"/>
      <c r="D85" s="80" t="s">
        <v>162</v>
      </c>
    </row>
    <row r="86" spans="1:10" ht="15.75" thickBot="1" x14ac:dyDescent="0.3">
      <c r="A86" s="195"/>
      <c r="B86" s="192"/>
      <c r="C86" s="192"/>
      <c r="D86" s="192"/>
    </row>
    <row r="87" spans="1:10" ht="15.75" thickBot="1" x14ac:dyDescent="0.3">
      <c r="A87" s="347"/>
      <c r="B87" s="349"/>
      <c r="C87" s="140"/>
      <c r="D87" s="134" t="s">
        <v>95</v>
      </c>
    </row>
    <row r="88" spans="1:10" ht="15.75" thickBot="1" x14ac:dyDescent="0.3">
      <c r="A88" s="134" t="s">
        <v>93</v>
      </c>
      <c r="B88" s="134" t="s">
        <v>105</v>
      </c>
      <c r="C88" s="141"/>
      <c r="D88" s="140" t="s">
        <v>91</v>
      </c>
    </row>
    <row r="89" spans="1:10" ht="23.25" thickBot="1" x14ac:dyDescent="0.3">
      <c r="A89" s="134" t="s">
        <v>56</v>
      </c>
      <c r="B89" s="132" t="s">
        <v>54</v>
      </c>
      <c r="C89" s="133" t="s">
        <v>55</v>
      </c>
      <c r="D89" s="135">
        <v>0</v>
      </c>
    </row>
    <row r="90" spans="1:10" ht="23.25" thickBot="1" x14ac:dyDescent="0.3">
      <c r="A90" s="134" t="s">
        <v>56</v>
      </c>
      <c r="B90" s="132" t="s">
        <v>65</v>
      </c>
      <c r="C90" s="133" t="s">
        <v>26</v>
      </c>
      <c r="D90" s="136">
        <v>0</v>
      </c>
    </row>
    <row r="91" spans="1:10" ht="34.5" thickBot="1" x14ac:dyDescent="0.3">
      <c r="A91" s="134" t="s">
        <v>56</v>
      </c>
      <c r="B91" s="132" t="s">
        <v>88</v>
      </c>
      <c r="C91" s="133" t="s">
        <v>87</v>
      </c>
      <c r="D91" s="135">
        <v>-535981.91</v>
      </c>
    </row>
    <row r="92" spans="1:10" ht="23.25" thickBot="1" x14ac:dyDescent="0.3">
      <c r="A92" s="134" t="s">
        <v>56</v>
      </c>
      <c r="B92" s="132" t="s">
        <v>66</v>
      </c>
      <c r="C92" s="133" t="s">
        <v>67</v>
      </c>
      <c r="D92" s="136">
        <v>9458837.7599999998</v>
      </c>
    </row>
    <row r="93" spans="1:10" ht="23.25" thickBot="1" x14ac:dyDescent="0.3">
      <c r="A93" s="134" t="s">
        <v>56</v>
      </c>
      <c r="B93" s="132" t="s">
        <v>72</v>
      </c>
      <c r="C93" s="133" t="s">
        <v>73</v>
      </c>
      <c r="D93" s="135">
        <v>289736.90999999997</v>
      </c>
    </row>
    <row r="94" spans="1:10" ht="23.25" thickBot="1" x14ac:dyDescent="0.3">
      <c r="A94" s="134" t="s">
        <v>56</v>
      </c>
      <c r="B94" s="132" t="s">
        <v>76</v>
      </c>
      <c r="C94" s="133" t="s">
        <v>77</v>
      </c>
      <c r="D94" s="136">
        <v>0</v>
      </c>
    </row>
    <row r="95" spans="1:10" ht="23.25" thickBot="1" x14ac:dyDescent="0.3">
      <c r="A95" s="134" t="s">
        <v>56</v>
      </c>
      <c r="B95" s="132" t="s">
        <v>80</v>
      </c>
      <c r="C95" s="133" t="s">
        <v>24</v>
      </c>
      <c r="D95" s="135">
        <v>331088.64000000001</v>
      </c>
    </row>
    <row r="96" spans="1:10" ht="34.5" thickBot="1" x14ac:dyDescent="0.3">
      <c r="A96" s="134" t="s">
        <v>56</v>
      </c>
      <c r="B96" s="132" t="s">
        <v>81</v>
      </c>
      <c r="C96" s="133" t="s">
        <v>82</v>
      </c>
      <c r="D96" s="136">
        <v>7606.52</v>
      </c>
    </row>
    <row r="97" spans="1:5" ht="15.75" thickBot="1" x14ac:dyDescent="0.3">
      <c r="A97" s="134" t="s">
        <v>56</v>
      </c>
      <c r="B97" s="352" t="s">
        <v>64</v>
      </c>
      <c r="C97" s="353"/>
      <c r="D97" s="137">
        <f>SUM(D89:D96)</f>
        <v>9551287.9199999999</v>
      </c>
    </row>
    <row r="98" spans="1:5" ht="15.75" thickBot="1" x14ac:dyDescent="0.3">
      <c r="A98" s="352" t="s">
        <v>104</v>
      </c>
      <c r="B98" s="354"/>
      <c r="C98" s="353"/>
      <c r="D98" s="137">
        <f>+D97</f>
        <v>9551287.9199999999</v>
      </c>
    </row>
    <row r="100" spans="1:5" x14ac:dyDescent="0.25">
      <c r="D100">
        <f>+'Skema 6'!E30+'Skema 6'!E159+'Skema 6'!E202+'Skema 6'!E288</f>
        <v>9543.6813999999995</v>
      </c>
    </row>
    <row r="101" spans="1:5" x14ac:dyDescent="0.25">
      <c r="D101">
        <f>+D98-D100*1000</f>
        <v>7606.519999999553</v>
      </c>
    </row>
    <row r="103" spans="1:5" ht="15.75" thickBot="1" x14ac:dyDescent="0.3">
      <c r="A103" s="80" t="s">
        <v>83</v>
      </c>
    </row>
    <row r="104" spans="1:5" ht="15.75" thickBot="1" x14ac:dyDescent="0.3">
      <c r="A104" s="347"/>
      <c r="B104" s="348"/>
      <c r="C104" s="349"/>
      <c r="D104" s="140"/>
      <c r="E104" s="134" t="s">
        <v>95</v>
      </c>
    </row>
    <row r="105" spans="1:5" ht="15.75" thickBot="1" x14ac:dyDescent="0.3">
      <c r="A105" s="350" t="s">
        <v>94</v>
      </c>
      <c r="B105" s="351"/>
      <c r="C105" s="134" t="s">
        <v>209</v>
      </c>
      <c r="D105" s="141"/>
      <c r="E105" s="140" t="s">
        <v>91</v>
      </c>
    </row>
    <row r="106" spans="1:5" ht="15.75" thickBot="1" x14ac:dyDescent="0.3">
      <c r="A106" s="352" t="s">
        <v>104</v>
      </c>
      <c r="B106" s="354"/>
      <c r="C106" s="354"/>
      <c r="D106" s="353"/>
      <c r="E106" s="137">
        <v>181994620.62</v>
      </c>
    </row>
    <row r="107" spans="1:5" ht="57" thickBot="1" x14ac:dyDescent="0.3">
      <c r="A107" s="139" t="s">
        <v>90</v>
      </c>
      <c r="B107" s="139" t="s">
        <v>89</v>
      </c>
      <c r="C107" s="134" t="s">
        <v>210</v>
      </c>
      <c r="D107" s="134" t="s">
        <v>211</v>
      </c>
      <c r="E107" s="135">
        <v>87824.46</v>
      </c>
    </row>
    <row r="108" spans="1:5" ht="57" thickBot="1" x14ac:dyDescent="0.3">
      <c r="A108" s="139" t="s">
        <v>90</v>
      </c>
      <c r="B108" s="139" t="s">
        <v>89</v>
      </c>
      <c r="C108" s="134" t="s">
        <v>212</v>
      </c>
      <c r="D108" s="134" t="s">
        <v>213</v>
      </c>
      <c r="E108" s="136">
        <v>62169.64</v>
      </c>
    </row>
    <row r="109" spans="1:5" ht="45.75" thickBot="1" x14ac:dyDescent="0.3">
      <c r="A109" s="139" t="s">
        <v>90</v>
      </c>
      <c r="B109" s="139" t="s">
        <v>89</v>
      </c>
      <c r="C109" s="134" t="s">
        <v>58</v>
      </c>
      <c r="D109" s="134" t="s">
        <v>59</v>
      </c>
      <c r="E109" s="135">
        <v>181500400.72</v>
      </c>
    </row>
    <row r="110" spans="1:5" ht="34.5" thickBot="1" x14ac:dyDescent="0.3">
      <c r="A110" s="139" t="s">
        <v>90</v>
      </c>
      <c r="B110" s="139" t="s">
        <v>89</v>
      </c>
      <c r="C110" s="134" t="s">
        <v>214</v>
      </c>
      <c r="D110" s="134" t="s">
        <v>215</v>
      </c>
      <c r="E110" s="136">
        <v>344225.8</v>
      </c>
    </row>
    <row r="111" spans="1:5" ht="34.5" thickBot="1" x14ac:dyDescent="0.3">
      <c r="A111" s="139" t="s">
        <v>90</v>
      </c>
      <c r="B111" s="139" t="s">
        <v>89</v>
      </c>
      <c r="C111" s="352" t="s">
        <v>64</v>
      </c>
      <c r="D111" s="353"/>
      <c r="E111" s="137">
        <v>181994620.62</v>
      </c>
    </row>
    <row r="112" spans="1:5" ht="57" thickBot="1" x14ac:dyDescent="0.3">
      <c r="A112" s="132" t="s">
        <v>54</v>
      </c>
      <c r="B112" s="133" t="s">
        <v>55</v>
      </c>
      <c r="C112" s="134" t="s">
        <v>210</v>
      </c>
      <c r="D112" s="134" t="s">
        <v>211</v>
      </c>
      <c r="E112" s="136">
        <v>75399.460000000006</v>
      </c>
    </row>
    <row r="113" spans="1:5" ht="45.75" thickBot="1" x14ac:dyDescent="0.3">
      <c r="A113" s="132" t="s">
        <v>54</v>
      </c>
      <c r="B113" s="133" t="s">
        <v>55</v>
      </c>
      <c r="C113" s="134" t="s">
        <v>58</v>
      </c>
      <c r="D113" s="134" t="s">
        <v>59</v>
      </c>
      <c r="E113" s="135">
        <v>19845823.109999999</v>
      </c>
    </row>
    <row r="114" spans="1:5" ht="23.25" thickBot="1" x14ac:dyDescent="0.3">
      <c r="A114" s="132" t="s">
        <v>54</v>
      </c>
      <c r="B114" s="133" t="s">
        <v>55</v>
      </c>
      <c r="C114" s="352" t="s">
        <v>64</v>
      </c>
      <c r="D114" s="353"/>
      <c r="E114" s="137">
        <v>19921222.57</v>
      </c>
    </row>
    <row r="115" spans="1:5" ht="45.75" thickBot="1" x14ac:dyDescent="0.3">
      <c r="A115" s="132" t="s">
        <v>65</v>
      </c>
      <c r="B115" s="133" t="s">
        <v>26</v>
      </c>
      <c r="C115" s="134" t="s">
        <v>58</v>
      </c>
      <c r="D115" s="134" t="s">
        <v>59</v>
      </c>
      <c r="E115" s="135">
        <v>2363322.63</v>
      </c>
    </row>
    <row r="116" spans="1:5" ht="23.25" thickBot="1" x14ac:dyDescent="0.3">
      <c r="A116" s="132" t="s">
        <v>65</v>
      </c>
      <c r="B116" s="133" t="s">
        <v>26</v>
      </c>
      <c r="C116" s="352" t="s">
        <v>64</v>
      </c>
      <c r="D116" s="353"/>
      <c r="E116" s="137">
        <v>2363322.63</v>
      </c>
    </row>
    <row r="117" spans="1:5" ht="57" thickBot="1" x14ac:dyDescent="0.3">
      <c r="A117" s="132" t="s">
        <v>88</v>
      </c>
      <c r="B117" s="133" t="s">
        <v>87</v>
      </c>
      <c r="C117" s="134" t="s">
        <v>212</v>
      </c>
      <c r="D117" s="134" t="s">
        <v>213</v>
      </c>
      <c r="E117" s="135">
        <v>0</v>
      </c>
    </row>
    <row r="118" spans="1:5" ht="34.5" thickBot="1" x14ac:dyDescent="0.3">
      <c r="A118" s="132" t="s">
        <v>88</v>
      </c>
      <c r="B118" s="133" t="s">
        <v>87</v>
      </c>
      <c r="C118" s="352" t="s">
        <v>64</v>
      </c>
      <c r="D118" s="353"/>
      <c r="E118" s="137">
        <v>0</v>
      </c>
    </row>
    <row r="119" spans="1:5" ht="57" thickBot="1" x14ac:dyDescent="0.3">
      <c r="A119" s="132" t="s">
        <v>66</v>
      </c>
      <c r="B119" s="133" t="s">
        <v>67</v>
      </c>
      <c r="C119" s="134" t="s">
        <v>212</v>
      </c>
      <c r="D119" s="134" t="s">
        <v>213</v>
      </c>
      <c r="E119" s="135">
        <v>21705.55</v>
      </c>
    </row>
    <row r="120" spans="1:5" ht="45.75" thickBot="1" x14ac:dyDescent="0.3">
      <c r="A120" s="132" t="s">
        <v>66</v>
      </c>
      <c r="B120" s="133" t="s">
        <v>67</v>
      </c>
      <c r="C120" s="134" t="s">
        <v>58</v>
      </c>
      <c r="D120" s="134" t="s">
        <v>59</v>
      </c>
      <c r="E120" s="136">
        <v>55969742.229999997</v>
      </c>
    </row>
    <row r="121" spans="1:5" ht="23.25" thickBot="1" x14ac:dyDescent="0.3">
      <c r="A121" s="132" t="s">
        <v>66</v>
      </c>
      <c r="B121" s="133" t="s">
        <v>67</v>
      </c>
      <c r="C121" s="352" t="s">
        <v>64</v>
      </c>
      <c r="D121" s="353"/>
      <c r="E121" s="137">
        <v>55991447.780000001</v>
      </c>
    </row>
    <row r="122" spans="1:5" ht="57" thickBot="1" x14ac:dyDescent="0.3">
      <c r="A122" s="132" t="s">
        <v>72</v>
      </c>
      <c r="B122" s="133" t="s">
        <v>73</v>
      </c>
      <c r="C122" s="134" t="s">
        <v>210</v>
      </c>
      <c r="D122" s="134" t="s">
        <v>211</v>
      </c>
      <c r="E122" s="136">
        <v>2729</v>
      </c>
    </row>
    <row r="123" spans="1:5" ht="45.75" thickBot="1" x14ac:dyDescent="0.3">
      <c r="A123" s="132" t="s">
        <v>72</v>
      </c>
      <c r="B123" s="133" t="s">
        <v>73</v>
      </c>
      <c r="C123" s="134" t="s">
        <v>58</v>
      </c>
      <c r="D123" s="134" t="s">
        <v>59</v>
      </c>
      <c r="E123" s="135">
        <v>18287791.879999999</v>
      </c>
    </row>
    <row r="124" spans="1:5" ht="34.5" thickBot="1" x14ac:dyDescent="0.3">
      <c r="A124" s="132" t="s">
        <v>72</v>
      </c>
      <c r="B124" s="133" t="s">
        <v>73</v>
      </c>
      <c r="C124" s="134" t="s">
        <v>214</v>
      </c>
      <c r="D124" s="134" t="s">
        <v>215</v>
      </c>
      <c r="E124" s="136">
        <v>282095</v>
      </c>
    </row>
    <row r="125" spans="1:5" ht="23.25" thickBot="1" x14ac:dyDescent="0.3">
      <c r="A125" s="132" t="s">
        <v>72</v>
      </c>
      <c r="B125" s="133" t="s">
        <v>73</v>
      </c>
      <c r="C125" s="352" t="s">
        <v>64</v>
      </c>
      <c r="D125" s="353"/>
      <c r="E125" s="137">
        <v>18572615.879999999</v>
      </c>
    </row>
    <row r="126" spans="1:5" ht="45.75" thickBot="1" x14ac:dyDescent="0.3">
      <c r="A126" s="132" t="s">
        <v>76</v>
      </c>
      <c r="B126" s="133" t="s">
        <v>77</v>
      </c>
      <c r="C126" s="134" t="s">
        <v>58</v>
      </c>
      <c r="D126" s="134" t="s">
        <v>59</v>
      </c>
      <c r="E126" s="136">
        <v>30586007.809999999</v>
      </c>
    </row>
    <row r="127" spans="1:5" ht="34.5" thickBot="1" x14ac:dyDescent="0.3">
      <c r="A127" s="132" t="s">
        <v>76</v>
      </c>
      <c r="B127" s="133" t="s">
        <v>77</v>
      </c>
      <c r="C127" s="134" t="s">
        <v>214</v>
      </c>
      <c r="D127" s="134" t="s">
        <v>215</v>
      </c>
      <c r="E127" s="135">
        <v>62130.8</v>
      </c>
    </row>
    <row r="128" spans="1:5" ht="23.25" thickBot="1" x14ac:dyDescent="0.3">
      <c r="A128" s="132" t="s">
        <v>76</v>
      </c>
      <c r="B128" s="133" t="s">
        <v>77</v>
      </c>
      <c r="C128" s="352" t="s">
        <v>64</v>
      </c>
      <c r="D128" s="353"/>
      <c r="E128" s="137">
        <v>30648138.609999999</v>
      </c>
    </row>
    <row r="129" spans="1:5" ht="57" thickBot="1" x14ac:dyDescent="0.3">
      <c r="A129" s="132" t="s">
        <v>80</v>
      </c>
      <c r="B129" s="133" t="s">
        <v>24</v>
      </c>
      <c r="C129" s="134" t="s">
        <v>210</v>
      </c>
      <c r="D129" s="134" t="s">
        <v>211</v>
      </c>
      <c r="E129" s="135">
        <v>9696</v>
      </c>
    </row>
    <row r="130" spans="1:5" ht="57" thickBot="1" x14ac:dyDescent="0.3">
      <c r="A130" s="132" t="s">
        <v>80</v>
      </c>
      <c r="B130" s="133" t="s">
        <v>24</v>
      </c>
      <c r="C130" s="134" t="s">
        <v>212</v>
      </c>
      <c r="D130" s="134" t="s">
        <v>213</v>
      </c>
      <c r="E130" s="136">
        <v>6357.37</v>
      </c>
    </row>
    <row r="131" spans="1:5" ht="45.75" thickBot="1" x14ac:dyDescent="0.3">
      <c r="A131" s="132" t="s">
        <v>80</v>
      </c>
      <c r="B131" s="133" t="s">
        <v>24</v>
      </c>
      <c r="C131" s="134" t="s">
        <v>58</v>
      </c>
      <c r="D131" s="134" t="s">
        <v>59</v>
      </c>
      <c r="E131" s="135">
        <v>54371006.25</v>
      </c>
    </row>
    <row r="132" spans="1:5" ht="23.25" thickBot="1" x14ac:dyDescent="0.3">
      <c r="A132" s="132" t="s">
        <v>80</v>
      </c>
      <c r="B132" s="133" t="s">
        <v>24</v>
      </c>
      <c r="C132" s="352" t="s">
        <v>64</v>
      </c>
      <c r="D132" s="353"/>
      <c r="E132" s="137">
        <v>54387059.619999997</v>
      </c>
    </row>
    <row r="133" spans="1:5" ht="57" thickBot="1" x14ac:dyDescent="0.3">
      <c r="A133" s="132" t="s">
        <v>81</v>
      </c>
      <c r="B133" s="133" t="s">
        <v>82</v>
      </c>
      <c r="C133" s="134" t="s">
        <v>212</v>
      </c>
      <c r="D133" s="134" t="s">
        <v>213</v>
      </c>
      <c r="E133" s="135">
        <v>34106.720000000001</v>
      </c>
    </row>
    <row r="134" spans="1:5" ht="45.75" thickBot="1" x14ac:dyDescent="0.3">
      <c r="A134" s="132" t="s">
        <v>81</v>
      </c>
      <c r="B134" s="133" t="s">
        <v>82</v>
      </c>
      <c r="C134" s="134" t="s">
        <v>58</v>
      </c>
      <c r="D134" s="134" t="s">
        <v>59</v>
      </c>
      <c r="E134" s="136">
        <v>76706.81</v>
      </c>
    </row>
    <row r="135" spans="1:5" ht="34.5" thickBot="1" x14ac:dyDescent="0.3">
      <c r="A135" s="132" t="s">
        <v>81</v>
      </c>
      <c r="B135" s="133" t="s">
        <v>82</v>
      </c>
      <c r="C135" s="352" t="s">
        <v>64</v>
      </c>
      <c r="D135" s="353"/>
      <c r="E135" s="137">
        <v>110813.53</v>
      </c>
    </row>
    <row r="136" spans="1:5" ht="57" thickBot="1" x14ac:dyDescent="0.3">
      <c r="A136" s="377" t="s">
        <v>216</v>
      </c>
      <c r="B136" s="378"/>
      <c r="C136" s="134" t="s">
        <v>212</v>
      </c>
      <c r="D136" s="134" t="s">
        <v>213</v>
      </c>
      <c r="E136" s="136">
        <v>0</v>
      </c>
    </row>
    <row r="137" spans="1:5" ht="45.75" thickBot="1" x14ac:dyDescent="0.3">
      <c r="A137" s="377" t="s">
        <v>216</v>
      </c>
      <c r="B137" s="378"/>
      <c r="C137" s="134" t="s">
        <v>58</v>
      </c>
      <c r="D137" s="134" t="s">
        <v>59</v>
      </c>
      <c r="E137" s="135">
        <v>0</v>
      </c>
    </row>
    <row r="138" spans="1:5" ht="15.75" thickBot="1" x14ac:dyDescent="0.3">
      <c r="A138" s="377" t="s">
        <v>216</v>
      </c>
      <c r="B138" s="378"/>
      <c r="C138" s="352" t="s">
        <v>64</v>
      </c>
      <c r="D138" s="353"/>
      <c r="E138" s="137">
        <v>0</v>
      </c>
    </row>
    <row r="139" spans="1:5" x14ac:dyDescent="0.25">
      <c r="E139" s="2">
        <f>+E106</f>
        <v>181994620.62</v>
      </c>
    </row>
    <row r="141" spans="1:5" x14ac:dyDescent="0.25">
      <c r="E141">
        <f>+'Skema 5'!E8+'Skema 5'!E13+'Skema 5'!E18+'Skema 5'!E23+'Skema 5'!E28+'Skema 5'!E33</f>
        <v>181883.80709000002</v>
      </c>
    </row>
    <row r="143" spans="1:5" x14ac:dyDescent="0.25">
      <c r="E143" s="142">
        <f>+E139-E141*1000</f>
        <v>110813.53000000119</v>
      </c>
    </row>
  </sheetData>
  <mergeCells count="47"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E22:F22"/>
    <mergeCell ref="C30:F30"/>
    <mergeCell ref="E42:F42"/>
    <mergeCell ref="E44:F44"/>
    <mergeCell ref="C45:F45"/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</mergeCells>
  <pageMargins left="0.7" right="0.7" top="0.75" bottom="0.75" header="0.3" footer="0.3"/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31" customFormat="1" ht="16.5" thickBot="1" x14ac:dyDescent="0.3">
      <c r="A1" s="138" t="s">
        <v>83</v>
      </c>
    </row>
    <row r="2" spans="1:17" ht="45.75" thickBot="1" x14ac:dyDescent="0.3">
      <c r="A2" s="132" t="s">
        <v>54</v>
      </c>
      <c r="B2" s="133" t="s">
        <v>55</v>
      </c>
      <c r="C2" s="134" t="s">
        <v>56</v>
      </c>
      <c r="D2" s="134" t="s">
        <v>57</v>
      </c>
      <c r="E2" s="134" t="s">
        <v>58</v>
      </c>
      <c r="F2" s="134" t="s">
        <v>59</v>
      </c>
      <c r="G2" s="134" t="s">
        <v>60</v>
      </c>
      <c r="H2" s="134" t="s">
        <v>61</v>
      </c>
      <c r="I2" s="135">
        <v>15508697.09</v>
      </c>
      <c r="M2" t="s">
        <v>96</v>
      </c>
    </row>
    <row r="3" spans="1:17" ht="45.75" thickBot="1" x14ac:dyDescent="0.3">
      <c r="A3" s="132" t="s">
        <v>54</v>
      </c>
      <c r="B3" s="133" t="s">
        <v>55</v>
      </c>
      <c r="C3" s="134" t="s">
        <v>56</v>
      </c>
      <c r="D3" s="134" t="s">
        <v>57</v>
      </c>
      <c r="E3" s="134" t="s">
        <v>58</v>
      </c>
      <c r="F3" s="134" t="s">
        <v>59</v>
      </c>
      <c r="G3" s="134" t="s">
        <v>62</v>
      </c>
      <c r="H3" s="134" t="s">
        <v>63</v>
      </c>
      <c r="I3" s="136">
        <v>1178379.8700000001</v>
      </c>
      <c r="M3" t="s">
        <v>97</v>
      </c>
    </row>
    <row r="4" spans="1:17" ht="15.75" thickBot="1" x14ac:dyDescent="0.3">
      <c r="A4" s="147" t="s">
        <v>177</v>
      </c>
      <c r="B4" s="133"/>
      <c r="C4" s="134" t="s">
        <v>56</v>
      </c>
      <c r="D4" s="134" t="s">
        <v>57</v>
      </c>
      <c r="E4" s="134"/>
      <c r="F4" s="147"/>
      <c r="G4" s="147" t="s">
        <v>177</v>
      </c>
      <c r="H4" s="134" t="s">
        <v>61</v>
      </c>
      <c r="I4" s="148">
        <v>-569975</v>
      </c>
      <c r="L4" s="80" t="s">
        <v>24</v>
      </c>
    </row>
    <row r="5" spans="1:17" ht="15.75" thickBot="1" x14ac:dyDescent="0.3">
      <c r="A5" s="147" t="s">
        <v>178</v>
      </c>
      <c r="B5" s="133"/>
      <c r="C5" s="134" t="s">
        <v>56</v>
      </c>
      <c r="D5" s="134" t="s">
        <v>57</v>
      </c>
      <c r="E5" s="134"/>
      <c r="F5" s="147"/>
      <c r="G5" s="147" t="s">
        <v>178</v>
      </c>
      <c r="H5" s="134" t="s">
        <v>63</v>
      </c>
      <c r="I5" s="148">
        <v>-5808.38</v>
      </c>
      <c r="L5" t="s">
        <v>98</v>
      </c>
      <c r="M5" s="142">
        <v>7713.3090000000002</v>
      </c>
    </row>
    <row r="6" spans="1:17" ht="45.75" thickBot="1" x14ac:dyDescent="0.3">
      <c r="A6" s="132" t="s">
        <v>54</v>
      </c>
      <c r="B6" s="133" t="s">
        <v>55</v>
      </c>
      <c r="C6" s="134" t="s">
        <v>56</v>
      </c>
      <c r="D6" s="134" t="s">
        <v>57</v>
      </c>
      <c r="E6" s="134" t="s">
        <v>58</v>
      </c>
      <c r="F6" s="134" t="s">
        <v>59</v>
      </c>
      <c r="G6" s="352" t="s">
        <v>64</v>
      </c>
      <c r="H6" s="353"/>
      <c r="I6" s="137">
        <f>SUM(I2:I5)</f>
        <v>16111293.58</v>
      </c>
      <c r="L6" t="s">
        <v>99</v>
      </c>
      <c r="M6" s="142">
        <v>44.872</v>
      </c>
    </row>
    <row r="7" spans="1:17" ht="23.25" thickBot="1" x14ac:dyDescent="0.3">
      <c r="A7" s="132" t="s">
        <v>54</v>
      </c>
      <c r="B7" s="133" t="s">
        <v>55</v>
      </c>
      <c r="C7" s="134" t="s">
        <v>56</v>
      </c>
      <c r="D7" s="134" t="s">
        <v>57</v>
      </c>
      <c r="E7" s="352" t="s">
        <v>64</v>
      </c>
      <c r="F7" s="354"/>
      <c r="G7" s="354"/>
      <c r="H7" s="353"/>
      <c r="I7" s="137">
        <f>+I6</f>
        <v>16111293.58</v>
      </c>
      <c r="L7" t="s">
        <v>100</v>
      </c>
      <c r="M7" s="142">
        <v>8868.7369999999992</v>
      </c>
      <c r="O7" s="142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32" t="s">
        <v>54</v>
      </c>
      <c r="B8" s="133" t="s">
        <v>55</v>
      </c>
      <c r="C8" s="352" t="s">
        <v>64</v>
      </c>
      <c r="D8" s="354"/>
      <c r="E8" s="354"/>
      <c r="F8" s="354"/>
      <c r="G8" s="354"/>
      <c r="H8" s="353"/>
      <c r="I8" s="137">
        <f>+I6</f>
        <v>16111293.58</v>
      </c>
    </row>
    <row r="9" spans="1:17" ht="45.75" thickBot="1" x14ac:dyDescent="0.3">
      <c r="A9" s="132" t="s">
        <v>65</v>
      </c>
      <c r="B9" s="133" t="s">
        <v>26</v>
      </c>
      <c r="C9" s="134" t="s">
        <v>56</v>
      </c>
      <c r="D9" s="134" t="s">
        <v>57</v>
      </c>
      <c r="E9" s="134" t="s">
        <v>58</v>
      </c>
      <c r="F9" s="134" t="s">
        <v>59</v>
      </c>
      <c r="G9" s="134" t="s">
        <v>60</v>
      </c>
      <c r="H9" s="134" t="s">
        <v>61</v>
      </c>
      <c r="I9" s="136">
        <v>1584489.01</v>
      </c>
      <c r="L9" s="80" t="s">
        <v>48</v>
      </c>
      <c r="M9" s="142"/>
    </row>
    <row r="10" spans="1:17" ht="45.75" thickBot="1" x14ac:dyDescent="0.3">
      <c r="A10" s="132" t="s">
        <v>65</v>
      </c>
      <c r="B10" s="133" t="s">
        <v>26</v>
      </c>
      <c r="C10" s="134" t="s">
        <v>56</v>
      </c>
      <c r="D10" s="134" t="s">
        <v>57</v>
      </c>
      <c r="E10" s="134" t="s">
        <v>58</v>
      </c>
      <c r="F10" s="134" t="s">
        <v>59</v>
      </c>
      <c r="G10" s="352" t="s">
        <v>64</v>
      </c>
      <c r="H10" s="353"/>
      <c r="I10" s="137">
        <v>1584489.01</v>
      </c>
      <c r="L10" t="s">
        <v>99</v>
      </c>
      <c r="M10" s="142">
        <v>44855.607649999998</v>
      </c>
    </row>
    <row r="11" spans="1:17" ht="23.25" thickBot="1" x14ac:dyDescent="0.3">
      <c r="A11" s="132" t="s">
        <v>65</v>
      </c>
      <c r="B11" s="133" t="s">
        <v>26</v>
      </c>
      <c r="C11" s="134" t="s">
        <v>56</v>
      </c>
      <c r="D11" s="134" t="s">
        <v>57</v>
      </c>
      <c r="E11" s="352" t="s">
        <v>64</v>
      </c>
      <c r="F11" s="354"/>
      <c r="G11" s="354"/>
      <c r="H11" s="353"/>
      <c r="I11" s="137">
        <v>1584489.01</v>
      </c>
      <c r="L11" t="s">
        <v>100</v>
      </c>
      <c r="M11" s="142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32" t="s">
        <v>65</v>
      </c>
      <c r="B12" s="133" t="s">
        <v>26</v>
      </c>
      <c r="C12" s="352" t="s">
        <v>64</v>
      </c>
      <c r="D12" s="354"/>
      <c r="E12" s="354"/>
      <c r="F12" s="354"/>
      <c r="G12" s="354"/>
      <c r="H12" s="353"/>
      <c r="I12" s="137">
        <v>1584489.01</v>
      </c>
      <c r="L12" s="80" t="s">
        <v>46</v>
      </c>
      <c r="M12" s="142"/>
    </row>
    <row r="13" spans="1:17" ht="45.75" thickBot="1" x14ac:dyDescent="0.3">
      <c r="A13" s="132" t="s">
        <v>66</v>
      </c>
      <c r="B13" s="133" t="s">
        <v>67</v>
      </c>
      <c r="C13" s="134" t="s">
        <v>56</v>
      </c>
      <c r="D13" s="134" t="s">
        <v>57</v>
      </c>
      <c r="E13" s="134" t="s">
        <v>58</v>
      </c>
      <c r="F13" s="134" t="s">
        <v>59</v>
      </c>
      <c r="G13" s="134" t="s">
        <v>68</v>
      </c>
      <c r="H13" s="134" t="s">
        <v>69</v>
      </c>
      <c r="I13" s="136">
        <v>30468.5</v>
      </c>
      <c r="L13" t="s">
        <v>99</v>
      </c>
      <c r="M13" s="142">
        <v>39862.639999999999</v>
      </c>
    </row>
    <row r="14" spans="1:17" ht="45.75" thickBot="1" x14ac:dyDescent="0.3">
      <c r="A14" s="132" t="s">
        <v>66</v>
      </c>
      <c r="B14" s="133" t="s">
        <v>67</v>
      </c>
      <c r="C14" s="134" t="s">
        <v>56</v>
      </c>
      <c r="D14" s="134" t="s">
        <v>57</v>
      </c>
      <c r="E14" s="134" t="s">
        <v>58</v>
      </c>
      <c r="F14" s="134" t="s">
        <v>59</v>
      </c>
      <c r="G14" s="134" t="s">
        <v>60</v>
      </c>
      <c r="H14" s="134" t="s">
        <v>61</v>
      </c>
      <c r="I14" s="135">
        <v>20807345.399999999</v>
      </c>
      <c r="J14" s="151" t="s">
        <v>180</v>
      </c>
      <c r="L14" t="s">
        <v>100</v>
      </c>
      <c r="M14" s="142">
        <v>16339.224</v>
      </c>
      <c r="O14" s="1">
        <f>+P14-M13-M14</f>
        <v>64583.031372739992</v>
      </c>
      <c r="P14" s="150">
        <v>120784.89537273999</v>
      </c>
    </row>
    <row r="15" spans="1:17" ht="45.75" thickBot="1" x14ac:dyDescent="0.3">
      <c r="A15" s="132" t="s">
        <v>66</v>
      </c>
      <c r="B15" s="133" t="s">
        <v>67</v>
      </c>
      <c r="C15" s="134" t="s">
        <v>56</v>
      </c>
      <c r="D15" s="134" t="s">
        <v>57</v>
      </c>
      <c r="E15" s="134" t="s">
        <v>58</v>
      </c>
      <c r="F15" s="134" t="s">
        <v>59</v>
      </c>
      <c r="G15" s="134" t="s">
        <v>70</v>
      </c>
      <c r="H15" s="134" t="s">
        <v>71</v>
      </c>
      <c r="I15" s="136">
        <v>2455.98</v>
      </c>
    </row>
    <row r="16" spans="1:17" ht="45.75" thickBot="1" x14ac:dyDescent="0.3">
      <c r="A16" s="132" t="s">
        <v>66</v>
      </c>
      <c r="B16" s="133" t="s">
        <v>67</v>
      </c>
      <c r="C16" s="134" t="s">
        <v>56</v>
      </c>
      <c r="D16" s="134" t="s">
        <v>57</v>
      </c>
      <c r="E16" s="134" t="s">
        <v>58</v>
      </c>
      <c r="F16" s="134" t="s">
        <v>59</v>
      </c>
      <c r="G16" s="352" t="s">
        <v>64</v>
      </c>
      <c r="H16" s="353"/>
      <c r="I16" s="137">
        <v>20840269.879999999</v>
      </c>
      <c r="J16" s="142">
        <v>20809745.400000002</v>
      </c>
      <c r="K16" s="2">
        <f>+I16-J16</f>
        <v>30524.479999996722</v>
      </c>
      <c r="O16" s="142"/>
      <c r="P16" s="142"/>
      <c r="Q16" s="142"/>
    </row>
    <row r="17" spans="1:15" ht="23.25" thickBot="1" x14ac:dyDescent="0.3">
      <c r="A17" s="132" t="s">
        <v>66</v>
      </c>
      <c r="B17" s="133" t="s">
        <v>67</v>
      </c>
      <c r="C17" s="134" t="s">
        <v>56</v>
      </c>
      <c r="D17" s="134" t="s">
        <v>57</v>
      </c>
      <c r="E17" s="352" t="s">
        <v>64</v>
      </c>
      <c r="F17" s="354"/>
      <c r="G17" s="354"/>
      <c r="H17" s="353"/>
      <c r="I17" s="137">
        <v>20840269.879999999</v>
      </c>
    </row>
    <row r="18" spans="1:15" ht="23.25" thickBot="1" x14ac:dyDescent="0.3">
      <c r="A18" s="132" t="s">
        <v>66</v>
      </c>
      <c r="B18" s="133" t="s">
        <v>67</v>
      </c>
      <c r="C18" s="352" t="s">
        <v>64</v>
      </c>
      <c r="D18" s="354"/>
      <c r="E18" s="354"/>
      <c r="F18" s="354"/>
      <c r="G18" s="354"/>
      <c r="H18" s="353"/>
      <c r="I18" s="137">
        <v>20840269.879999999</v>
      </c>
      <c r="O18" s="142"/>
    </row>
    <row r="19" spans="1:15" ht="45.75" thickBot="1" x14ac:dyDescent="0.3">
      <c r="A19" s="132" t="s">
        <v>72</v>
      </c>
      <c r="B19" s="133" t="s">
        <v>73</v>
      </c>
      <c r="C19" s="134" t="s">
        <v>56</v>
      </c>
      <c r="D19" s="134" t="s">
        <v>57</v>
      </c>
      <c r="E19" s="134" t="s">
        <v>58</v>
      </c>
      <c r="F19" s="134" t="s">
        <v>59</v>
      </c>
      <c r="G19" s="134" t="s">
        <v>74</v>
      </c>
      <c r="H19" s="134" t="s">
        <v>75</v>
      </c>
      <c r="I19" s="136">
        <v>204.38</v>
      </c>
      <c r="M19" s="152"/>
      <c r="O19" s="142"/>
    </row>
    <row r="20" spans="1:15" ht="45.75" thickBot="1" x14ac:dyDescent="0.3">
      <c r="A20" s="132" t="s">
        <v>72</v>
      </c>
      <c r="B20" s="133" t="s">
        <v>73</v>
      </c>
      <c r="C20" s="134" t="s">
        <v>56</v>
      </c>
      <c r="D20" s="134" t="s">
        <v>57</v>
      </c>
      <c r="E20" s="134" t="s">
        <v>58</v>
      </c>
      <c r="F20" s="134" t="s">
        <v>59</v>
      </c>
      <c r="G20" s="134" t="s">
        <v>68</v>
      </c>
      <c r="H20" s="134" t="s">
        <v>69</v>
      </c>
      <c r="I20" s="135">
        <v>8447775.8100000005</v>
      </c>
    </row>
    <row r="21" spans="1:15" ht="45.75" thickBot="1" x14ac:dyDescent="0.3">
      <c r="A21" s="132" t="s">
        <v>72</v>
      </c>
      <c r="B21" s="133" t="s">
        <v>73</v>
      </c>
      <c r="C21" s="134" t="s">
        <v>56</v>
      </c>
      <c r="D21" s="134" t="s">
        <v>57</v>
      </c>
      <c r="E21" s="134" t="s">
        <v>58</v>
      </c>
      <c r="F21" s="134" t="s">
        <v>59</v>
      </c>
      <c r="G21" s="134" t="s">
        <v>60</v>
      </c>
      <c r="H21" s="134" t="s">
        <v>61</v>
      </c>
      <c r="I21" s="136">
        <v>8473219.6899999995</v>
      </c>
    </row>
    <row r="22" spans="1:15" ht="45.75" thickBot="1" x14ac:dyDescent="0.3">
      <c r="A22" s="132" t="s">
        <v>72</v>
      </c>
      <c r="B22" s="133" t="s">
        <v>73</v>
      </c>
      <c r="C22" s="134" t="s">
        <v>56</v>
      </c>
      <c r="D22" s="134" t="s">
        <v>57</v>
      </c>
      <c r="E22" s="134" t="s">
        <v>58</v>
      </c>
      <c r="F22" s="134" t="s">
        <v>59</v>
      </c>
      <c r="G22" s="352" t="s">
        <v>64</v>
      </c>
      <c r="H22" s="353"/>
      <c r="I22" s="137">
        <v>16921199.879999999</v>
      </c>
      <c r="J22" s="142">
        <v>16926196.453911997</v>
      </c>
      <c r="K22" s="2">
        <f>+J22-I22</f>
        <v>4996.573911998421</v>
      </c>
    </row>
    <row r="23" spans="1:15" ht="23.25" thickBot="1" x14ac:dyDescent="0.3">
      <c r="A23" s="132" t="s">
        <v>72</v>
      </c>
      <c r="B23" s="133" t="s">
        <v>73</v>
      </c>
      <c r="C23" s="134" t="s">
        <v>56</v>
      </c>
      <c r="D23" s="134" t="s">
        <v>57</v>
      </c>
      <c r="E23" s="352" t="s">
        <v>64</v>
      </c>
      <c r="F23" s="354"/>
      <c r="G23" s="354"/>
      <c r="H23" s="353"/>
      <c r="I23" s="137">
        <v>16921199.879999999</v>
      </c>
    </row>
    <row r="24" spans="1:15" ht="23.25" thickBot="1" x14ac:dyDescent="0.3">
      <c r="A24" s="132" t="s">
        <v>72</v>
      </c>
      <c r="B24" s="133" t="s">
        <v>73</v>
      </c>
      <c r="C24" s="352" t="s">
        <v>64</v>
      </c>
      <c r="D24" s="354"/>
      <c r="E24" s="354"/>
      <c r="F24" s="354"/>
      <c r="G24" s="354"/>
      <c r="H24" s="353"/>
      <c r="I24" s="137">
        <v>16921199.879999999</v>
      </c>
    </row>
    <row r="25" spans="1:15" ht="45.75" thickBot="1" x14ac:dyDescent="0.3">
      <c r="A25" s="132" t="s">
        <v>76</v>
      </c>
      <c r="B25" s="133" t="s">
        <v>77</v>
      </c>
      <c r="C25" s="134" t="s">
        <v>56</v>
      </c>
      <c r="D25" s="134" t="s">
        <v>57</v>
      </c>
      <c r="E25" s="134" t="s">
        <v>58</v>
      </c>
      <c r="F25" s="134" t="s">
        <v>59</v>
      </c>
      <c r="G25" s="134" t="s">
        <v>78</v>
      </c>
      <c r="H25" s="134" t="s">
        <v>79</v>
      </c>
      <c r="I25" s="136">
        <v>13288.99</v>
      </c>
    </row>
    <row r="26" spans="1:15" ht="45.75" thickBot="1" x14ac:dyDescent="0.3">
      <c r="A26" s="132" t="s">
        <v>76</v>
      </c>
      <c r="B26" s="133" t="s">
        <v>77</v>
      </c>
      <c r="C26" s="134" t="s">
        <v>56</v>
      </c>
      <c r="D26" s="134" t="s">
        <v>57</v>
      </c>
      <c r="E26" s="134" t="s">
        <v>58</v>
      </c>
      <c r="F26" s="134" t="s">
        <v>59</v>
      </c>
      <c r="G26" s="134" t="s">
        <v>60</v>
      </c>
      <c r="H26" s="134" t="s">
        <v>61</v>
      </c>
      <c r="I26" s="135">
        <v>18337046.600000001</v>
      </c>
    </row>
    <row r="27" spans="1:15" ht="45.75" thickBot="1" x14ac:dyDescent="0.3">
      <c r="A27" s="132" t="s">
        <v>76</v>
      </c>
      <c r="B27" s="133" t="s">
        <v>77</v>
      </c>
      <c r="C27" s="134" t="s">
        <v>56</v>
      </c>
      <c r="D27" s="134" t="s">
        <v>57</v>
      </c>
      <c r="E27" s="134" t="s">
        <v>58</v>
      </c>
      <c r="F27" s="134" t="s">
        <v>59</v>
      </c>
      <c r="G27" s="352" t="s">
        <v>64</v>
      </c>
      <c r="H27" s="353"/>
      <c r="I27" s="137">
        <v>18350335.59</v>
      </c>
    </row>
    <row r="28" spans="1:15" ht="23.25" thickBot="1" x14ac:dyDescent="0.3">
      <c r="A28" s="132" t="s">
        <v>76</v>
      </c>
      <c r="B28" s="133" t="s">
        <v>77</v>
      </c>
      <c r="C28" s="134" t="s">
        <v>56</v>
      </c>
      <c r="D28" s="134" t="s">
        <v>57</v>
      </c>
      <c r="E28" s="352" t="s">
        <v>64</v>
      </c>
      <c r="F28" s="354"/>
      <c r="G28" s="354"/>
      <c r="H28" s="353"/>
      <c r="I28" s="137">
        <v>18350335.59</v>
      </c>
    </row>
    <row r="29" spans="1:15" ht="23.25" thickBot="1" x14ac:dyDescent="0.3">
      <c r="A29" s="132" t="s">
        <v>76</v>
      </c>
      <c r="B29" s="133" t="s">
        <v>77</v>
      </c>
      <c r="C29" s="352" t="s">
        <v>64</v>
      </c>
      <c r="D29" s="354"/>
      <c r="E29" s="354"/>
      <c r="F29" s="354"/>
      <c r="G29" s="354"/>
      <c r="H29" s="353"/>
      <c r="I29" s="137">
        <v>18350335.59</v>
      </c>
    </row>
    <row r="30" spans="1:15" ht="45.75" thickBot="1" x14ac:dyDescent="0.3">
      <c r="A30" s="132" t="s">
        <v>80</v>
      </c>
      <c r="B30" s="133" t="s">
        <v>24</v>
      </c>
      <c r="C30" s="134" t="s">
        <v>56</v>
      </c>
      <c r="D30" s="134" t="s">
        <v>57</v>
      </c>
      <c r="E30" s="134" t="s">
        <v>58</v>
      </c>
      <c r="F30" s="134" t="s">
        <v>59</v>
      </c>
      <c r="G30" s="134" t="s">
        <v>60</v>
      </c>
      <c r="H30" s="134" t="s">
        <v>61</v>
      </c>
      <c r="I30" s="135">
        <v>36089128.350000001</v>
      </c>
    </row>
    <row r="31" spans="1:15" s="150" customFormat="1" ht="15.75" thickBot="1" x14ac:dyDescent="0.3">
      <c r="A31" s="147" t="s">
        <v>177</v>
      </c>
      <c r="B31" s="133"/>
      <c r="C31" s="134" t="s">
        <v>56</v>
      </c>
      <c r="D31" s="134" t="s">
        <v>57</v>
      </c>
      <c r="E31" s="134"/>
      <c r="F31" s="147"/>
      <c r="G31" s="147" t="s">
        <v>177</v>
      </c>
      <c r="H31" s="134" t="s">
        <v>61</v>
      </c>
      <c r="I31" s="148">
        <v>569975</v>
      </c>
      <c r="J31" t="s">
        <v>179</v>
      </c>
    </row>
    <row r="32" spans="1:15" ht="45.75" thickBot="1" x14ac:dyDescent="0.3">
      <c r="A32" s="132" t="s">
        <v>80</v>
      </c>
      <c r="B32" s="133" t="s">
        <v>24</v>
      </c>
      <c r="C32" s="134" t="s">
        <v>56</v>
      </c>
      <c r="D32" s="134" t="s">
        <v>57</v>
      </c>
      <c r="E32" s="134" t="s">
        <v>58</v>
      </c>
      <c r="F32" s="134" t="s">
        <v>59</v>
      </c>
      <c r="G32" s="352" t="s">
        <v>64</v>
      </c>
      <c r="H32" s="353"/>
      <c r="I32" s="137">
        <f>SUM(I30:I31)</f>
        <v>36659103.350000001</v>
      </c>
      <c r="J32" s="142"/>
      <c r="K32" s="1"/>
    </row>
    <row r="33" spans="1:18" ht="23.25" thickBot="1" x14ac:dyDescent="0.3">
      <c r="A33" s="132" t="s">
        <v>80</v>
      </c>
      <c r="B33" s="133" t="s">
        <v>24</v>
      </c>
      <c r="C33" s="134" t="s">
        <v>56</v>
      </c>
      <c r="D33" s="134" t="s">
        <v>57</v>
      </c>
      <c r="E33" s="352" t="s">
        <v>64</v>
      </c>
      <c r="F33" s="354"/>
      <c r="G33" s="354"/>
      <c r="H33" s="353"/>
      <c r="I33" s="137">
        <f>+I32</f>
        <v>36659103.350000001</v>
      </c>
      <c r="K33" s="2"/>
    </row>
    <row r="34" spans="1:18" ht="23.25" thickBot="1" x14ac:dyDescent="0.3">
      <c r="A34" s="132" t="s">
        <v>80</v>
      </c>
      <c r="B34" s="133" t="s">
        <v>24</v>
      </c>
      <c r="C34" s="352" t="s">
        <v>64</v>
      </c>
      <c r="D34" s="354"/>
      <c r="E34" s="354"/>
      <c r="F34" s="354"/>
      <c r="G34" s="354"/>
      <c r="H34" s="353"/>
      <c r="I34" s="137">
        <f>+I32</f>
        <v>36659103.350000001</v>
      </c>
      <c r="K34" s="1"/>
    </row>
    <row r="35" spans="1:18" ht="45.75" thickBot="1" x14ac:dyDescent="0.3">
      <c r="A35" s="132" t="s">
        <v>81</v>
      </c>
      <c r="B35" s="133" t="s">
        <v>82</v>
      </c>
      <c r="C35" s="134" t="s">
        <v>56</v>
      </c>
      <c r="D35" s="134" t="s">
        <v>57</v>
      </c>
      <c r="E35" s="134" t="s">
        <v>58</v>
      </c>
      <c r="F35" s="134" t="s">
        <v>59</v>
      </c>
      <c r="G35" s="134" t="s">
        <v>68</v>
      </c>
      <c r="H35" s="134" t="s">
        <v>69</v>
      </c>
      <c r="I35" s="136">
        <v>69096.960000000006</v>
      </c>
    </row>
    <row r="36" spans="1:18" ht="45.75" thickBot="1" x14ac:dyDescent="0.3">
      <c r="A36" s="132" t="s">
        <v>81</v>
      </c>
      <c r="B36" s="133" t="s">
        <v>82</v>
      </c>
      <c r="C36" s="134" t="s">
        <v>56</v>
      </c>
      <c r="D36" s="134" t="s">
        <v>57</v>
      </c>
      <c r="E36" s="134" t="s">
        <v>58</v>
      </c>
      <c r="F36" s="134" t="s">
        <v>59</v>
      </c>
      <c r="G36" s="352" t="s">
        <v>64</v>
      </c>
      <c r="H36" s="353"/>
      <c r="I36" s="137">
        <v>69096.960000000006</v>
      </c>
    </row>
    <row r="37" spans="1:18" ht="34.5" thickBot="1" x14ac:dyDescent="0.3">
      <c r="A37" s="132" t="s">
        <v>81</v>
      </c>
      <c r="B37" s="133" t="s">
        <v>82</v>
      </c>
      <c r="C37" s="134" t="s">
        <v>56</v>
      </c>
      <c r="D37" s="134" t="s">
        <v>57</v>
      </c>
      <c r="E37" s="352" t="s">
        <v>64</v>
      </c>
      <c r="F37" s="354"/>
      <c r="G37" s="354"/>
      <c r="H37" s="353"/>
      <c r="I37" s="137">
        <v>69096.960000000006</v>
      </c>
    </row>
    <row r="38" spans="1:18" ht="34.5" thickBot="1" x14ac:dyDescent="0.3">
      <c r="A38" s="132" t="s">
        <v>81</v>
      </c>
      <c r="B38" s="133" t="s">
        <v>82</v>
      </c>
      <c r="C38" s="352" t="s">
        <v>64</v>
      </c>
      <c r="D38" s="354"/>
      <c r="E38" s="354"/>
      <c r="F38" s="354"/>
      <c r="G38" s="354"/>
      <c r="H38" s="353"/>
      <c r="I38" s="137">
        <v>69096.960000000006</v>
      </c>
    </row>
    <row r="39" spans="1:18" x14ac:dyDescent="0.25">
      <c r="K39" s="149"/>
      <c r="L39" s="149"/>
      <c r="M39" s="149"/>
      <c r="N39" s="149"/>
      <c r="O39" s="149"/>
      <c r="P39" s="149"/>
      <c r="Q39" s="149"/>
      <c r="R39" s="149"/>
    </row>
    <row r="40" spans="1:18" ht="16.5" thickBot="1" x14ac:dyDescent="0.3">
      <c r="A40" s="138" t="s">
        <v>84</v>
      </c>
      <c r="K40" s="149"/>
      <c r="L40" s="149"/>
      <c r="M40" s="149"/>
      <c r="N40" s="149"/>
      <c r="O40" s="149"/>
      <c r="P40" s="149"/>
      <c r="Q40" s="149"/>
      <c r="R40" s="149"/>
    </row>
    <row r="41" spans="1:18" ht="15.75" thickBot="1" x14ac:dyDescent="0.3">
      <c r="A41" s="347"/>
      <c r="B41" s="348"/>
      <c r="C41" s="348"/>
      <c r="D41" s="348"/>
      <c r="E41" s="349"/>
      <c r="F41" s="140"/>
      <c r="G41" s="134" t="s">
        <v>95</v>
      </c>
      <c r="K41" s="149"/>
      <c r="L41" s="149"/>
      <c r="M41" s="149"/>
      <c r="N41" s="149"/>
      <c r="O41" s="149"/>
      <c r="P41" s="149"/>
      <c r="Q41" s="149"/>
      <c r="R41" s="149"/>
    </row>
    <row r="42" spans="1:18" ht="15.75" thickBot="1" x14ac:dyDescent="0.3">
      <c r="A42" s="350" t="s">
        <v>94</v>
      </c>
      <c r="B42" s="351"/>
      <c r="C42" s="350" t="s">
        <v>93</v>
      </c>
      <c r="D42" s="351"/>
      <c r="E42" s="134" t="s">
        <v>92</v>
      </c>
      <c r="F42" s="141"/>
      <c r="G42" s="140" t="s">
        <v>91</v>
      </c>
      <c r="K42" s="149"/>
      <c r="L42" s="149"/>
      <c r="M42" s="149"/>
      <c r="N42" s="149"/>
      <c r="O42" s="149"/>
      <c r="P42" s="149"/>
      <c r="Q42" s="149"/>
      <c r="R42" s="149"/>
    </row>
    <row r="43" spans="1:18" ht="34.5" thickBot="1" x14ac:dyDescent="0.3">
      <c r="A43" s="139" t="s">
        <v>90</v>
      </c>
      <c r="B43" s="139" t="s">
        <v>89</v>
      </c>
      <c r="C43" s="134" t="s">
        <v>56</v>
      </c>
      <c r="D43" s="134" t="s">
        <v>57</v>
      </c>
      <c r="E43" s="134" t="s">
        <v>86</v>
      </c>
      <c r="F43" s="134" t="s">
        <v>85</v>
      </c>
      <c r="G43" s="136">
        <f>+G44</f>
        <v>22659695.240000002</v>
      </c>
      <c r="K43" s="149"/>
      <c r="L43" s="149"/>
      <c r="M43" s="149"/>
      <c r="N43" s="149"/>
      <c r="O43" s="149"/>
      <c r="P43" s="149"/>
      <c r="Q43" s="149"/>
      <c r="R43" s="149"/>
    </row>
    <row r="44" spans="1:18" ht="34.5" thickBot="1" x14ac:dyDescent="0.3">
      <c r="A44" s="139" t="s">
        <v>90</v>
      </c>
      <c r="B44" s="139" t="s">
        <v>89</v>
      </c>
      <c r="C44" s="352" t="s">
        <v>64</v>
      </c>
      <c r="D44" s="354"/>
      <c r="E44" s="354"/>
      <c r="F44" s="353"/>
      <c r="G44" s="137">
        <f>+G46+G48+G50+G52+G54+G56+G58+G60</f>
        <v>22659695.240000002</v>
      </c>
      <c r="K44" s="149"/>
      <c r="L44" s="149"/>
      <c r="M44" s="149"/>
      <c r="N44" s="149"/>
      <c r="O44" s="149"/>
      <c r="P44" s="149"/>
      <c r="Q44" s="149"/>
      <c r="R44" s="149"/>
    </row>
    <row r="45" spans="1:18" ht="23.25" thickBot="1" x14ac:dyDescent="0.3">
      <c r="A45" s="132" t="s">
        <v>54</v>
      </c>
      <c r="B45" s="133" t="s">
        <v>55</v>
      </c>
      <c r="C45" s="134" t="s">
        <v>56</v>
      </c>
      <c r="D45" s="134" t="s">
        <v>57</v>
      </c>
      <c r="E45" s="134" t="s">
        <v>86</v>
      </c>
      <c r="F45" s="134" t="s">
        <v>85</v>
      </c>
      <c r="G45" s="136">
        <v>2209030.1</v>
      </c>
      <c r="K45" s="149"/>
      <c r="L45" s="149"/>
      <c r="M45" s="149"/>
      <c r="N45" s="149"/>
      <c r="O45" s="149"/>
      <c r="P45" s="149"/>
      <c r="Q45" s="149"/>
      <c r="R45" s="149"/>
    </row>
    <row r="46" spans="1:18" ht="23.25" thickBot="1" x14ac:dyDescent="0.3">
      <c r="A46" s="132" t="s">
        <v>54</v>
      </c>
      <c r="B46" s="133" t="s">
        <v>55</v>
      </c>
      <c r="C46" s="352" t="s">
        <v>64</v>
      </c>
      <c r="D46" s="354"/>
      <c r="E46" s="354"/>
      <c r="F46" s="353"/>
      <c r="G46" s="137">
        <f>+G45</f>
        <v>2209030.1</v>
      </c>
      <c r="K46" s="149"/>
      <c r="L46" s="149"/>
      <c r="M46" s="149"/>
      <c r="N46" s="149"/>
      <c r="O46" s="149"/>
      <c r="P46" s="149"/>
      <c r="Q46" s="149"/>
      <c r="R46" s="149"/>
    </row>
    <row r="47" spans="1:18" ht="23.25" thickBot="1" x14ac:dyDescent="0.3">
      <c r="A47" s="132" t="s">
        <v>65</v>
      </c>
      <c r="B47" s="133" t="s">
        <v>26</v>
      </c>
      <c r="C47" s="134" t="s">
        <v>56</v>
      </c>
      <c r="D47" s="134" t="s">
        <v>57</v>
      </c>
      <c r="E47" s="134" t="s">
        <v>86</v>
      </c>
      <c r="F47" s="134" t="s">
        <v>85</v>
      </c>
      <c r="G47" s="136">
        <v>128268.15</v>
      </c>
      <c r="K47" s="149"/>
      <c r="L47" s="149"/>
      <c r="M47" s="149"/>
      <c r="N47" s="149"/>
      <c r="O47" s="149"/>
      <c r="P47" s="149"/>
      <c r="Q47" s="149"/>
      <c r="R47" s="149"/>
    </row>
    <row r="48" spans="1:18" ht="23.25" thickBot="1" x14ac:dyDescent="0.3">
      <c r="A48" s="132" t="s">
        <v>65</v>
      </c>
      <c r="B48" s="133" t="s">
        <v>26</v>
      </c>
      <c r="C48" s="352" t="s">
        <v>64</v>
      </c>
      <c r="D48" s="354"/>
      <c r="E48" s="354"/>
      <c r="F48" s="353"/>
      <c r="G48" s="137">
        <f>+G47</f>
        <v>128268.15</v>
      </c>
      <c r="K48" s="149"/>
      <c r="L48" s="149"/>
      <c r="M48" s="149"/>
      <c r="N48" s="149"/>
      <c r="O48" s="149"/>
      <c r="P48" s="149"/>
      <c r="Q48" s="149"/>
      <c r="R48" s="149"/>
    </row>
    <row r="49" spans="1:18" ht="34.5" thickBot="1" x14ac:dyDescent="0.3">
      <c r="A49" s="132" t="s">
        <v>88</v>
      </c>
      <c r="B49" s="133" t="s">
        <v>87</v>
      </c>
      <c r="C49" s="134" t="s">
        <v>56</v>
      </c>
      <c r="D49" s="134" t="s">
        <v>57</v>
      </c>
      <c r="E49" s="134" t="s">
        <v>86</v>
      </c>
      <c r="F49" s="134" t="s">
        <v>85</v>
      </c>
      <c r="G49" s="136">
        <v>308491.25</v>
      </c>
      <c r="K49" s="149"/>
      <c r="L49" s="149"/>
      <c r="M49" s="149"/>
      <c r="N49" s="149"/>
      <c r="O49" s="149"/>
      <c r="P49" s="149"/>
      <c r="Q49" s="149"/>
      <c r="R49" s="149"/>
    </row>
    <row r="50" spans="1:18" ht="34.5" thickBot="1" x14ac:dyDescent="0.3">
      <c r="A50" s="132" t="s">
        <v>88</v>
      </c>
      <c r="B50" s="133" t="s">
        <v>87</v>
      </c>
      <c r="C50" s="352" t="s">
        <v>64</v>
      </c>
      <c r="D50" s="354"/>
      <c r="E50" s="354"/>
      <c r="F50" s="353"/>
      <c r="G50" s="137">
        <f>+G49</f>
        <v>308491.25</v>
      </c>
      <c r="K50" s="149"/>
      <c r="L50" s="149"/>
      <c r="M50" s="149"/>
      <c r="N50" s="149"/>
      <c r="O50" s="149"/>
      <c r="P50" s="149"/>
      <c r="Q50" s="149"/>
      <c r="R50" s="149"/>
    </row>
    <row r="51" spans="1:18" ht="23.25" thickBot="1" x14ac:dyDescent="0.3">
      <c r="A51" s="132" t="s">
        <v>66</v>
      </c>
      <c r="B51" s="133" t="s">
        <v>67</v>
      </c>
      <c r="C51" s="134" t="s">
        <v>56</v>
      </c>
      <c r="D51" s="134" t="s">
        <v>57</v>
      </c>
      <c r="E51" s="134" t="s">
        <v>86</v>
      </c>
      <c r="F51" s="134" t="s">
        <v>85</v>
      </c>
      <c r="G51" s="136">
        <v>3763499.05</v>
      </c>
      <c r="K51" s="149"/>
      <c r="L51" s="149"/>
      <c r="M51" s="149"/>
      <c r="N51" s="149"/>
      <c r="O51" s="149"/>
      <c r="P51" s="149"/>
      <c r="Q51" s="149"/>
      <c r="R51" s="149"/>
    </row>
    <row r="52" spans="1:18" ht="23.25" thickBot="1" x14ac:dyDescent="0.3">
      <c r="A52" s="132" t="s">
        <v>66</v>
      </c>
      <c r="B52" s="133" t="s">
        <v>67</v>
      </c>
      <c r="C52" s="352" t="s">
        <v>64</v>
      </c>
      <c r="D52" s="354"/>
      <c r="E52" s="354"/>
      <c r="F52" s="353"/>
      <c r="G52" s="137">
        <f>+G51</f>
        <v>3763499.05</v>
      </c>
      <c r="K52" s="149"/>
      <c r="L52" s="149"/>
      <c r="M52" s="149"/>
      <c r="N52" s="149"/>
      <c r="O52" s="149"/>
      <c r="P52" s="149"/>
      <c r="Q52" s="149"/>
      <c r="R52" s="149"/>
    </row>
    <row r="53" spans="1:18" ht="23.25" thickBot="1" x14ac:dyDescent="0.3">
      <c r="A53" s="132" t="s">
        <v>72</v>
      </c>
      <c r="B53" s="133" t="s">
        <v>73</v>
      </c>
      <c r="C53" s="134" t="s">
        <v>56</v>
      </c>
      <c r="D53" s="134" t="s">
        <v>57</v>
      </c>
      <c r="E53" s="134" t="s">
        <v>86</v>
      </c>
      <c r="F53" s="134" t="s">
        <v>85</v>
      </c>
      <c r="G53" s="136">
        <v>1897882.86</v>
      </c>
      <c r="K53" s="149"/>
      <c r="L53" s="149"/>
      <c r="M53" s="149"/>
      <c r="N53" s="149"/>
      <c r="O53" s="149"/>
      <c r="P53" s="149"/>
      <c r="Q53" s="149"/>
      <c r="R53" s="149"/>
    </row>
    <row r="54" spans="1:18" ht="23.25" thickBot="1" x14ac:dyDescent="0.3">
      <c r="A54" s="132" t="s">
        <v>72</v>
      </c>
      <c r="B54" s="133" t="s">
        <v>73</v>
      </c>
      <c r="C54" s="352" t="s">
        <v>64</v>
      </c>
      <c r="D54" s="354"/>
      <c r="E54" s="354"/>
      <c r="F54" s="353"/>
      <c r="G54" s="137">
        <f>+G53</f>
        <v>1897882.86</v>
      </c>
      <c r="K54" s="149"/>
      <c r="L54" s="149"/>
      <c r="M54" s="149"/>
      <c r="N54" s="149"/>
      <c r="O54" s="149"/>
      <c r="P54" s="149"/>
      <c r="Q54" s="149"/>
      <c r="R54" s="149"/>
    </row>
    <row r="55" spans="1:18" ht="23.25" thickBot="1" x14ac:dyDescent="0.3">
      <c r="A55" s="132" t="s">
        <v>76</v>
      </c>
      <c r="B55" s="133" t="s">
        <v>77</v>
      </c>
      <c r="C55" s="134" t="s">
        <v>56</v>
      </c>
      <c r="D55" s="134" t="s">
        <v>57</v>
      </c>
      <c r="E55" s="134" t="s">
        <v>86</v>
      </c>
      <c r="F55" s="134" t="s">
        <v>85</v>
      </c>
      <c r="G55" s="136">
        <v>3243566.44</v>
      </c>
      <c r="K55" s="149"/>
      <c r="L55" s="149"/>
      <c r="M55" s="149"/>
      <c r="N55" s="149"/>
      <c r="O55" s="149"/>
      <c r="P55" s="149"/>
      <c r="Q55" s="149"/>
      <c r="R55" s="149"/>
    </row>
    <row r="56" spans="1:18" ht="23.25" thickBot="1" x14ac:dyDescent="0.3">
      <c r="A56" s="132" t="s">
        <v>76</v>
      </c>
      <c r="B56" s="133" t="s">
        <v>77</v>
      </c>
      <c r="C56" s="352" t="s">
        <v>64</v>
      </c>
      <c r="D56" s="354"/>
      <c r="E56" s="354"/>
      <c r="F56" s="353"/>
      <c r="G56" s="137">
        <f>+G55</f>
        <v>3243566.44</v>
      </c>
      <c r="K56" s="149"/>
      <c r="L56" s="149"/>
      <c r="M56" s="149"/>
      <c r="N56" s="149"/>
      <c r="O56" s="149"/>
      <c r="P56" s="149"/>
      <c r="Q56" s="149"/>
      <c r="R56" s="149"/>
    </row>
    <row r="57" spans="1:18" ht="23.25" thickBot="1" x14ac:dyDescent="0.3">
      <c r="A57" s="132" t="s">
        <v>80</v>
      </c>
      <c r="B57" s="133" t="s">
        <v>24</v>
      </c>
      <c r="C57" s="134" t="s">
        <v>56</v>
      </c>
      <c r="D57" s="134" t="s">
        <v>57</v>
      </c>
      <c r="E57" s="134" t="s">
        <v>86</v>
      </c>
      <c r="F57" s="134" t="s">
        <v>85</v>
      </c>
      <c r="G57" s="136">
        <v>6374005.4000000004</v>
      </c>
      <c r="K57" s="149"/>
      <c r="L57" s="149"/>
      <c r="M57" s="149"/>
      <c r="N57" s="149"/>
      <c r="O57" s="149"/>
      <c r="P57" s="149"/>
      <c r="Q57" s="149"/>
      <c r="R57" s="149"/>
    </row>
    <row r="58" spans="1:18" ht="23.25" thickBot="1" x14ac:dyDescent="0.3">
      <c r="A58" s="132" t="s">
        <v>80</v>
      </c>
      <c r="B58" s="133" t="s">
        <v>24</v>
      </c>
      <c r="C58" s="352" t="s">
        <v>64</v>
      </c>
      <c r="D58" s="354"/>
      <c r="E58" s="354"/>
      <c r="F58" s="353"/>
      <c r="G58" s="137">
        <f>+G57</f>
        <v>6374005.4000000004</v>
      </c>
      <c r="K58" s="149"/>
      <c r="L58" s="149"/>
      <c r="M58" s="149"/>
      <c r="N58" s="149"/>
      <c r="O58" s="149"/>
      <c r="P58" s="149"/>
      <c r="Q58" s="149"/>
      <c r="R58" s="149"/>
    </row>
    <row r="59" spans="1:18" ht="34.5" thickBot="1" x14ac:dyDescent="0.3">
      <c r="A59" s="132" t="s">
        <v>81</v>
      </c>
      <c r="B59" s="133" t="s">
        <v>82</v>
      </c>
      <c r="C59" s="134" t="s">
        <v>56</v>
      </c>
      <c r="D59" s="134" t="s">
        <v>57</v>
      </c>
      <c r="E59" s="134" t="s">
        <v>86</v>
      </c>
      <c r="F59" s="134" t="s">
        <v>85</v>
      </c>
      <c r="G59" s="136">
        <v>4734951.99</v>
      </c>
      <c r="K59" s="149"/>
      <c r="L59" s="149"/>
      <c r="M59" s="149"/>
      <c r="N59" s="149"/>
      <c r="O59" s="149"/>
      <c r="P59" s="149"/>
      <c r="Q59" s="149"/>
      <c r="R59" s="149"/>
    </row>
    <row r="60" spans="1:18" ht="34.5" thickBot="1" x14ac:dyDescent="0.3">
      <c r="A60" s="132" t="s">
        <v>81</v>
      </c>
      <c r="B60" s="133" t="s">
        <v>82</v>
      </c>
      <c r="C60" s="352" t="s">
        <v>64</v>
      </c>
      <c r="D60" s="354"/>
      <c r="E60" s="354"/>
      <c r="F60" s="353"/>
      <c r="G60" s="137">
        <f>+G59</f>
        <v>4734951.99</v>
      </c>
      <c r="K60" s="149"/>
      <c r="L60" s="149"/>
      <c r="M60" s="149"/>
      <c r="N60" s="149"/>
      <c r="O60" s="149"/>
      <c r="P60" s="149"/>
      <c r="Q60" s="149"/>
      <c r="R60" s="149"/>
    </row>
    <row r="61" spans="1:18" x14ac:dyDescent="0.25">
      <c r="K61" s="149"/>
      <c r="L61" s="149"/>
      <c r="M61" s="149"/>
      <c r="N61" s="149"/>
      <c r="O61" s="149"/>
      <c r="P61" s="149"/>
      <c r="Q61" s="149"/>
      <c r="R61" s="149"/>
    </row>
    <row r="62" spans="1:18" ht="16.5" thickBot="1" x14ac:dyDescent="0.3">
      <c r="A62" s="138" t="s">
        <v>160</v>
      </c>
      <c r="K62" s="149"/>
      <c r="L62" s="149"/>
      <c r="M62" s="149"/>
      <c r="N62" s="149"/>
      <c r="O62" s="149"/>
      <c r="P62" s="149"/>
      <c r="Q62" s="149"/>
      <c r="R62" s="149"/>
    </row>
    <row r="63" spans="1:18" ht="15.75" thickBot="1" x14ac:dyDescent="0.3">
      <c r="A63" s="355"/>
      <c r="B63" s="356"/>
      <c r="C63" s="357"/>
      <c r="D63" s="140"/>
      <c r="E63" s="134" t="s">
        <v>95</v>
      </c>
      <c r="F63" s="134" t="s">
        <v>95</v>
      </c>
      <c r="G63" s="134" t="s">
        <v>95</v>
      </c>
      <c r="K63" s="149"/>
      <c r="L63" s="149"/>
      <c r="M63" s="149"/>
      <c r="N63" s="149"/>
      <c r="O63" s="149"/>
      <c r="P63" s="149"/>
      <c r="Q63" s="149"/>
      <c r="R63" s="149"/>
    </row>
    <row r="64" spans="1:18" ht="15.75" thickBot="1" x14ac:dyDescent="0.3">
      <c r="A64" s="358"/>
      <c r="B64" s="359"/>
      <c r="C64" s="360"/>
      <c r="D64" s="140" t="s">
        <v>101</v>
      </c>
      <c r="E64" s="134" t="s">
        <v>102</v>
      </c>
      <c r="F64" s="134" t="s">
        <v>103</v>
      </c>
      <c r="G64" s="143" t="s">
        <v>104</v>
      </c>
      <c r="K64" s="149"/>
      <c r="L64" s="149"/>
      <c r="M64" s="149"/>
      <c r="N64" s="149"/>
      <c r="O64" s="149"/>
      <c r="P64" s="149"/>
      <c r="Q64" s="149"/>
      <c r="R64" s="149"/>
    </row>
    <row r="65" spans="1:18" ht="15.75" thickBot="1" x14ac:dyDescent="0.3">
      <c r="A65" s="350" t="s">
        <v>105</v>
      </c>
      <c r="B65" s="351"/>
      <c r="C65" s="134" t="s">
        <v>92</v>
      </c>
      <c r="D65" s="141"/>
      <c r="E65" s="140" t="s">
        <v>91</v>
      </c>
      <c r="F65" s="140" t="s">
        <v>91</v>
      </c>
      <c r="G65" s="144" t="s">
        <v>91</v>
      </c>
      <c r="K65" s="149"/>
      <c r="L65" s="149"/>
      <c r="M65" s="149"/>
      <c r="N65" s="149"/>
      <c r="O65" s="149"/>
      <c r="P65" s="149"/>
      <c r="Q65" s="149"/>
      <c r="R65" s="149"/>
    </row>
    <row r="66" spans="1:18" ht="34.5" thickBot="1" x14ac:dyDescent="0.3">
      <c r="A66" s="134" t="s">
        <v>106</v>
      </c>
      <c r="B66" s="134" t="s">
        <v>107</v>
      </c>
      <c r="C66" s="134" t="s">
        <v>108</v>
      </c>
      <c r="D66" s="134" t="s">
        <v>109</v>
      </c>
      <c r="E66" s="136">
        <v>-169215</v>
      </c>
      <c r="F66" s="145"/>
      <c r="G66" s="137">
        <v>-169215</v>
      </c>
      <c r="K66" s="149"/>
      <c r="L66" s="149"/>
      <c r="M66" s="149"/>
      <c r="N66" s="149"/>
      <c r="O66" s="149"/>
      <c r="P66" s="149"/>
      <c r="Q66" s="149"/>
      <c r="R66" s="149"/>
    </row>
    <row r="67" spans="1:18" ht="34.5" thickBot="1" x14ac:dyDescent="0.3">
      <c r="A67" s="134" t="s">
        <v>106</v>
      </c>
      <c r="B67" s="134" t="s">
        <v>107</v>
      </c>
      <c r="C67" s="134" t="s">
        <v>110</v>
      </c>
      <c r="D67" s="134" t="s">
        <v>111</v>
      </c>
      <c r="E67" s="146"/>
      <c r="F67" s="135">
        <v>-90840584</v>
      </c>
      <c r="G67" s="137">
        <v>-90840584</v>
      </c>
      <c r="K67" s="149"/>
      <c r="L67" s="149"/>
      <c r="M67" s="149"/>
      <c r="N67" s="149"/>
      <c r="O67" s="149"/>
      <c r="P67" s="149"/>
      <c r="Q67" s="149"/>
      <c r="R67" s="149"/>
    </row>
    <row r="68" spans="1:18" ht="34.5" thickBot="1" x14ac:dyDescent="0.3">
      <c r="A68" s="134" t="s">
        <v>106</v>
      </c>
      <c r="B68" s="134" t="s">
        <v>107</v>
      </c>
      <c r="C68" s="134" t="s">
        <v>112</v>
      </c>
      <c r="D68" s="134" t="s">
        <v>113</v>
      </c>
      <c r="E68" s="145"/>
      <c r="F68" s="136">
        <v>-3519335</v>
      </c>
      <c r="G68" s="137">
        <v>-3519335</v>
      </c>
      <c r="K68" s="149"/>
      <c r="L68" s="149"/>
      <c r="M68" s="149"/>
      <c r="N68" s="149"/>
      <c r="O68" s="149"/>
      <c r="P68" s="149"/>
      <c r="Q68" s="149"/>
      <c r="R68" s="149"/>
    </row>
    <row r="69" spans="1:18" ht="34.5" thickBot="1" x14ac:dyDescent="0.3">
      <c r="A69" s="134" t="s">
        <v>106</v>
      </c>
      <c r="B69" s="134" t="s">
        <v>107</v>
      </c>
      <c r="C69" s="134" t="s">
        <v>114</v>
      </c>
      <c r="D69" s="134" t="s">
        <v>115</v>
      </c>
      <c r="E69" s="135">
        <v>-1784300</v>
      </c>
      <c r="F69" s="146"/>
      <c r="G69" s="137">
        <v>-1784300</v>
      </c>
      <c r="K69" s="149"/>
      <c r="L69" s="149"/>
      <c r="M69" s="149"/>
      <c r="N69" s="149"/>
      <c r="O69" s="149"/>
      <c r="P69" s="149"/>
      <c r="Q69" s="149"/>
      <c r="R69" s="149"/>
    </row>
    <row r="70" spans="1:18" ht="34.5" thickBot="1" x14ac:dyDescent="0.3">
      <c r="A70" s="134" t="s">
        <v>106</v>
      </c>
      <c r="B70" s="134" t="s">
        <v>107</v>
      </c>
      <c r="C70" s="352" t="s">
        <v>64</v>
      </c>
      <c r="D70" s="353"/>
      <c r="E70" s="137">
        <v>-1953515</v>
      </c>
      <c r="F70" s="137">
        <v>-94359919</v>
      </c>
      <c r="G70" s="137">
        <v>-96313434</v>
      </c>
      <c r="K70" s="149"/>
      <c r="L70" s="149"/>
      <c r="M70" s="149"/>
      <c r="N70" s="149"/>
      <c r="O70" s="149"/>
      <c r="P70" s="149"/>
      <c r="Q70" s="149"/>
      <c r="R70" s="149"/>
    </row>
    <row r="71" spans="1:18" ht="23.25" thickBot="1" x14ac:dyDescent="0.3">
      <c r="A71" s="134" t="s">
        <v>116</v>
      </c>
      <c r="B71" s="134" t="s">
        <v>26</v>
      </c>
      <c r="C71" s="134" t="s">
        <v>108</v>
      </c>
      <c r="D71" s="134" t="s">
        <v>109</v>
      </c>
      <c r="E71" s="135">
        <v>-622391</v>
      </c>
      <c r="F71" s="146"/>
      <c r="G71" s="137">
        <v>-622391</v>
      </c>
      <c r="K71" s="149"/>
      <c r="L71" s="149"/>
      <c r="M71" s="149"/>
      <c r="N71" s="149"/>
      <c r="O71" s="149"/>
      <c r="P71" s="149"/>
      <c r="Q71" s="149"/>
      <c r="R71" s="149"/>
    </row>
    <row r="72" spans="1:18" ht="23.25" thickBot="1" x14ac:dyDescent="0.3">
      <c r="A72" s="134" t="s">
        <v>116</v>
      </c>
      <c r="B72" s="134" t="s">
        <v>26</v>
      </c>
      <c r="C72" s="134" t="s">
        <v>117</v>
      </c>
      <c r="D72" s="134" t="s">
        <v>118</v>
      </c>
      <c r="E72" s="145"/>
      <c r="F72" s="136">
        <v>-497831</v>
      </c>
      <c r="G72" s="137">
        <v>-497831</v>
      </c>
      <c r="K72" s="149"/>
      <c r="L72" s="149"/>
      <c r="M72" s="149"/>
      <c r="N72" s="149"/>
      <c r="O72" s="149"/>
      <c r="P72" s="149"/>
      <c r="Q72" s="149"/>
      <c r="R72" s="149"/>
    </row>
    <row r="73" spans="1:18" ht="23.25" thickBot="1" x14ac:dyDescent="0.3">
      <c r="A73" s="134" t="s">
        <v>116</v>
      </c>
      <c r="B73" s="134" t="s">
        <v>26</v>
      </c>
      <c r="C73" s="134" t="s">
        <v>119</v>
      </c>
      <c r="D73" s="134" t="s">
        <v>120</v>
      </c>
      <c r="E73" s="145"/>
      <c r="F73" s="136">
        <v>-3880957</v>
      </c>
      <c r="G73" s="137">
        <v>-3880957</v>
      </c>
      <c r="K73" s="149"/>
      <c r="L73" s="149"/>
      <c r="M73" s="149"/>
      <c r="N73" s="149"/>
      <c r="O73" s="149"/>
      <c r="P73" s="149"/>
      <c r="Q73" s="149"/>
      <c r="R73" s="149"/>
    </row>
    <row r="74" spans="1:18" ht="23.25" thickBot="1" x14ac:dyDescent="0.3">
      <c r="A74" s="134" t="s">
        <v>116</v>
      </c>
      <c r="B74" s="134" t="s">
        <v>26</v>
      </c>
      <c r="C74" s="352" t="s">
        <v>64</v>
      </c>
      <c r="D74" s="353"/>
      <c r="E74" s="137">
        <v>-634656</v>
      </c>
      <c r="F74" s="137">
        <v>-4378788</v>
      </c>
      <c r="G74" s="137">
        <v>-5001179</v>
      </c>
      <c r="K74" s="149"/>
      <c r="L74" s="149"/>
      <c r="M74" s="149"/>
      <c r="N74" s="149"/>
      <c r="O74" s="149"/>
      <c r="P74" s="149"/>
      <c r="Q74" s="149"/>
      <c r="R74" s="149"/>
    </row>
    <row r="75" spans="1:18" ht="34.5" thickBot="1" x14ac:dyDescent="0.3">
      <c r="A75" s="134" t="s">
        <v>121</v>
      </c>
      <c r="B75" s="134" t="s">
        <v>122</v>
      </c>
      <c r="C75" s="134" t="s">
        <v>108</v>
      </c>
      <c r="D75" s="134" t="s">
        <v>109</v>
      </c>
      <c r="E75" s="136">
        <v>-1855493</v>
      </c>
      <c r="F75" s="145"/>
      <c r="G75" s="137">
        <v>-1855493</v>
      </c>
      <c r="K75" s="149"/>
      <c r="L75" s="149"/>
      <c r="M75" s="149"/>
      <c r="N75" s="149"/>
      <c r="O75" s="149"/>
      <c r="P75" s="149"/>
      <c r="Q75" s="149"/>
      <c r="R75" s="149"/>
    </row>
    <row r="76" spans="1:18" ht="34.5" thickBot="1" x14ac:dyDescent="0.3">
      <c r="A76" s="134" t="s">
        <v>121</v>
      </c>
      <c r="B76" s="134" t="s">
        <v>122</v>
      </c>
      <c r="C76" s="134" t="s">
        <v>110</v>
      </c>
      <c r="D76" s="134" t="s">
        <v>111</v>
      </c>
      <c r="E76" s="146"/>
      <c r="F76" s="135">
        <v>-96343642</v>
      </c>
      <c r="G76" s="137">
        <v>-96343642</v>
      </c>
      <c r="K76" s="149"/>
      <c r="L76" s="149"/>
      <c r="M76" s="149"/>
      <c r="N76" s="149"/>
      <c r="O76" s="149"/>
      <c r="P76" s="149"/>
      <c r="Q76" s="149"/>
      <c r="R76" s="149"/>
    </row>
    <row r="77" spans="1:18" ht="34.5" thickBot="1" x14ac:dyDescent="0.3">
      <c r="A77" s="134" t="s">
        <v>121</v>
      </c>
      <c r="B77" s="134" t="s">
        <v>122</v>
      </c>
      <c r="C77" s="134" t="s">
        <v>112</v>
      </c>
      <c r="D77" s="134" t="s">
        <v>113</v>
      </c>
      <c r="E77" s="145"/>
      <c r="F77" s="136">
        <v>-146254793</v>
      </c>
      <c r="G77" s="137">
        <v>-146254793</v>
      </c>
      <c r="K77" s="149"/>
      <c r="L77" s="149"/>
      <c r="M77" s="149"/>
      <c r="N77" s="149"/>
      <c r="O77" s="149"/>
      <c r="P77" s="149"/>
      <c r="Q77" s="149"/>
      <c r="R77" s="149"/>
    </row>
    <row r="78" spans="1:18" ht="34.5" thickBot="1" x14ac:dyDescent="0.3">
      <c r="A78" s="134" t="s">
        <v>121</v>
      </c>
      <c r="B78" s="134" t="s">
        <v>122</v>
      </c>
      <c r="C78" s="134" t="s">
        <v>114</v>
      </c>
      <c r="D78" s="134" t="s">
        <v>115</v>
      </c>
      <c r="E78" s="135">
        <v>-130864.08</v>
      </c>
      <c r="F78" s="146"/>
      <c r="G78" s="137">
        <v>-130864.08</v>
      </c>
    </row>
    <row r="79" spans="1:18" ht="34.5" thickBot="1" x14ac:dyDescent="0.3">
      <c r="A79" s="134" t="s">
        <v>121</v>
      </c>
      <c r="B79" s="134" t="s">
        <v>122</v>
      </c>
      <c r="C79" s="352" t="s">
        <v>64</v>
      </c>
      <c r="D79" s="353"/>
      <c r="E79" s="137">
        <v>-1986357.08</v>
      </c>
      <c r="F79" s="137">
        <v>-242598435</v>
      </c>
      <c r="G79" s="137">
        <v>-244584792.08000001</v>
      </c>
    </row>
    <row r="80" spans="1:18" ht="34.5" thickBot="1" x14ac:dyDescent="0.3">
      <c r="A80" s="134" t="s">
        <v>123</v>
      </c>
      <c r="B80" s="134" t="s">
        <v>124</v>
      </c>
      <c r="C80" s="134" t="s">
        <v>125</v>
      </c>
      <c r="D80" s="134" t="s">
        <v>126</v>
      </c>
      <c r="E80" s="146"/>
      <c r="F80" s="135">
        <v>-6547176</v>
      </c>
      <c r="G80" s="137">
        <v>-6547176</v>
      </c>
    </row>
    <row r="81" spans="1:17" ht="34.5" thickBot="1" x14ac:dyDescent="0.3">
      <c r="A81" s="134" t="s">
        <v>123</v>
      </c>
      <c r="B81" s="134" t="s">
        <v>124</v>
      </c>
      <c r="C81" s="134" t="s">
        <v>108</v>
      </c>
      <c r="D81" s="134" t="s">
        <v>109</v>
      </c>
      <c r="E81" s="136">
        <v>-1927187</v>
      </c>
      <c r="F81" s="145"/>
      <c r="G81" s="137">
        <v>-1927187</v>
      </c>
    </row>
    <row r="82" spans="1:17" ht="34.5" thickBot="1" x14ac:dyDescent="0.3">
      <c r="A82" s="134" t="s">
        <v>123</v>
      </c>
      <c r="B82" s="134" t="s">
        <v>124</v>
      </c>
      <c r="C82" s="134" t="s">
        <v>112</v>
      </c>
      <c r="D82" s="134" t="s">
        <v>113</v>
      </c>
      <c r="E82" s="146"/>
      <c r="F82" s="135">
        <v>-23215275</v>
      </c>
      <c r="G82" s="137">
        <v>-23215275</v>
      </c>
    </row>
    <row r="83" spans="1:17" ht="34.5" thickBot="1" x14ac:dyDescent="0.3">
      <c r="A83" s="134" t="s">
        <v>123</v>
      </c>
      <c r="B83" s="134" t="s">
        <v>124</v>
      </c>
      <c r="C83" s="134" t="s">
        <v>127</v>
      </c>
      <c r="D83" s="134" t="s">
        <v>128</v>
      </c>
      <c r="E83" s="145"/>
      <c r="F83" s="136">
        <v>-15858544</v>
      </c>
      <c r="G83" s="137">
        <v>-15858544</v>
      </c>
    </row>
    <row r="84" spans="1:17" ht="34.5" thickBot="1" x14ac:dyDescent="0.3">
      <c r="A84" s="134" t="s">
        <v>123</v>
      </c>
      <c r="B84" s="134" t="s">
        <v>124</v>
      </c>
      <c r="C84" s="134" t="s">
        <v>129</v>
      </c>
      <c r="D84" s="134" t="s">
        <v>130</v>
      </c>
      <c r="E84" s="146"/>
      <c r="F84" s="135">
        <v>0</v>
      </c>
      <c r="G84" s="137">
        <v>0</v>
      </c>
    </row>
    <row r="85" spans="1:17" ht="23.25" thickBot="1" x14ac:dyDescent="0.3">
      <c r="A85" s="379" t="s">
        <v>184</v>
      </c>
      <c r="B85" s="380"/>
      <c r="C85" s="380"/>
      <c r="D85" s="381"/>
      <c r="E85" s="146"/>
      <c r="F85" s="135">
        <f>+G85</f>
        <v>3802</v>
      </c>
      <c r="G85" s="137">
        <f>-Q85</f>
        <v>3802</v>
      </c>
      <c r="H85" s="152"/>
      <c r="I85" s="152"/>
      <c r="K85" s="134" t="s">
        <v>181</v>
      </c>
      <c r="L85" s="134" t="s">
        <v>182</v>
      </c>
      <c r="M85" s="134" t="s">
        <v>125</v>
      </c>
      <c r="N85" s="134" t="s">
        <v>126</v>
      </c>
      <c r="O85" s="134" t="s">
        <v>183</v>
      </c>
      <c r="P85" s="134" t="s">
        <v>184</v>
      </c>
      <c r="Q85" s="136">
        <v>-3802</v>
      </c>
    </row>
    <row r="86" spans="1:17" ht="34.5" thickBot="1" x14ac:dyDescent="0.3">
      <c r="A86" s="134" t="s">
        <v>123</v>
      </c>
      <c r="B86" s="134" t="s">
        <v>124</v>
      </c>
      <c r="C86" s="352" t="s">
        <v>64</v>
      </c>
      <c r="D86" s="353"/>
      <c r="E86" s="137">
        <f>SUM(E80:E85)</f>
        <v>-1927187</v>
      </c>
      <c r="F86" s="137">
        <f>SUM(F80:F85)</f>
        <v>-45617193</v>
      </c>
      <c r="G86" s="137">
        <f>SUM(G80:G85)</f>
        <v>-47544380</v>
      </c>
      <c r="H86" s="142">
        <v>-45617193</v>
      </c>
      <c r="I86" s="2">
        <f>+F86-H86</f>
        <v>0</v>
      </c>
    </row>
    <row r="87" spans="1:17" ht="34.5" thickBot="1" x14ac:dyDescent="0.3">
      <c r="A87" s="134" t="s">
        <v>131</v>
      </c>
      <c r="B87" s="134" t="s">
        <v>132</v>
      </c>
      <c r="C87" s="134" t="s">
        <v>133</v>
      </c>
      <c r="D87" s="134" t="s">
        <v>134</v>
      </c>
      <c r="E87" s="146"/>
      <c r="F87" s="135">
        <v>-839057</v>
      </c>
      <c r="G87" s="137">
        <v>-839057</v>
      </c>
    </row>
    <row r="88" spans="1:17" ht="34.5" thickBot="1" x14ac:dyDescent="0.3">
      <c r="A88" s="134" t="s">
        <v>131</v>
      </c>
      <c r="B88" s="134" t="s">
        <v>132</v>
      </c>
      <c r="C88" s="134" t="s">
        <v>108</v>
      </c>
      <c r="D88" s="134" t="s">
        <v>109</v>
      </c>
      <c r="E88" s="136">
        <v>-175286</v>
      </c>
      <c r="F88" s="145"/>
      <c r="G88" s="137">
        <v>-175286</v>
      </c>
    </row>
    <row r="89" spans="1:17" ht="34.5" thickBot="1" x14ac:dyDescent="0.3">
      <c r="A89" s="134" t="s">
        <v>131</v>
      </c>
      <c r="B89" s="134" t="s">
        <v>132</v>
      </c>
      <c r="C89" s="134" t="s">
        <v>110</v>
      </c>
      <c r="D89" s="134" t="s">
        <v>111</v>
      </c>
      <c r="E89" s="146"/>
      <c r="F89" s="135">
        <v>-82326953</v>
      </c>
      <c r="G89" s="137">
        <v>-82326953</v>
      </c>
    </row>
    <row r="90" spans="1:17" ht="34.5" thickBot="1" x14ac:dyDescent="0.3">
      <c r="A90" s="134" t="s">
        <v>131</v>
      </c>
      <c r="B90" s="134" t="s">
        <v>132</v>
      </c>
      <c r="C90" s="134" t="s">
        <v>112</v>
      </c>
      <c r="D90" s="134" t="s">
        <v>113</v>
      </c>
      <c r="E90" s="145"/>
      <c r="F90" s="136">
        <v>-15619470</v>
      </c>
      <c r="G90" s="137">
        <v>-15619470</v>
      </c>
    </row>
    <row r="91" spans="1:17" ht="34.5" thickBot="1" x14ac:dyDescent="0.3">
      <c r="A91" s="134" t="s">
        <v>131</v>
      </c>
      <c r="B91" s="134" t="s">
        <v>132</v>
      </c>
      <c r="C91" s="134" t="s">
        <v>114</v>
      </c>
      <c r="D91" s="134" t="s">
        <v>115</v>
      </c>
      <c r="E91" s="135">
        <v>-92282</v>
      </c>
      <c r="F91" s="146"/>
      <c r="G91" s="137">
        <v>-92282</v>
      </c>
    </row>
    <row r="92" spans="1:17" ht="34.5" thickBot="1" x14ac:dyDescent="0.3">
      <c r="A92" s="134" t="s">
        <v>131</v>
      </c>
      <c r="B92" s="134" t="s">
        <v>132</v>
      </c>
      <c r="C92" s="134" t="s">
        <v>135</v>
      </c>
      <c r="D92" s="134" t="s">
        <v>136</v>
      </c>
      <c r="E92" s="145"/>
      <c r="F92" s="136">
        <v>-4776804</v>
      </c>
      <c r="G92" s="137">
        <v>-4776804</v>
      </c>
    </row>
    <row r="93" spans="1:17" ht="34.5" thickBot="1" x14ac:dyDescent="0.3">
      <c r="A93" s="134" t="s">
        <v>131</v>
      </c>
      <c r="B93" s="134" t="s">
        <v>132</v>
      </c>
      <c r="C93" s="134" t="s">
        <v>137</v>
      </c>
      <c r="D93" s="134" t="s">
        <v>138</v>
      </c>
      <c r="E93" s="146"/>
      <c r="F93" s="135">
        <v>-134027</v>
      </c>
      <c r="G93" s="137">
        <v>-134027</v>
      </c>
    </row>
    <row r="94" spans="1:17" ht="34.5" thickBot="1" x14ac:dyDescent="0.3">
      <c r="A94" s="134" t="s">
        <v>131</v>
      </c>
      <c r="B94" s="134" t="s">
        <v>132</v>
      </c>
      <c r="C94" s="352" t="s">
        <v>64</v>
      </c>
      <c r="D94" s="353"/>
      <c r="E94" s="137">
        <v>-267568</v>
      </c>
      <c r="F94" s="137">
        <v>-103696311</v>
      </c>
      <c r="G94" s="137">
        <v>-103963879</v>
      </c>
    </row>
    <row r="95" spans="1:17" ht="23.25" thickBot="1" x14ac:dyDescent="0.3">
      <c r="A95" s="134" t="s">
        <v>139</v>
      </c>
      <c r="B95" s="134" t="s">
        <v>24</v>
      </c>
      <c r="C95" s="134" t="s">
        <v>125</v>
      </c>
      <c r="D95" s="134" t="s">
        <v>126</v>
      </c>
      <c r="E95" s="146"/>
      <c r="F95" s="135">
        <v>1523345.4</v>
      </c>
      <c r="G95" s="137">
        <v>1523345.4</v>
      </c>
    </row>
    <row r="96" spans="1:17" ht="23.25" thickBot="1" x14ac:dyDescent="0.3">
      <c r="A96" s="134" t="s">
        <v>139</v>
      </c>
      <c r="B96" s="134" t="s">
        <v>24</v>
      </c>
      <c r="C96" s="134" t="s">
        <v>140</v>
      </c>
      <c r="D96" s="134" t="s">
        <v>141</v>
      </c>
      <c r="E96" s="145"/>
      <c r="F96" s="136">
        <v>240735.42</v>
      </c>
      <c r="G96" s="137">
        <v>240735.42</v>
      </c>
    </row>
    <row r="97" spans="1:7" ht="23.25" thickBot="1" x14ac:dyDescent="0.3">
      <c r="A97" s="134" t="s">
        <v>139</v>
      </c>
      <c r="B97" s="134" t="s">
        <v>24</v>
      </c>
      <c r="C97" s="134" t="s">
        <v>133</v>
      </c>
      <c r="D97" s="134" t="s">
        <v>134</v>
      </c>
      <c r="E97" s="146"/>
      <c r="F97" s="135">
        <v>-2405705</v>
      </c>
      <c r="G97" s="137">
        <v>-2405705</v>
      </c>
    </row>
    <row r="98" spans="1:7" ht="23.25" thickBot="1" x14ac:dyDescent="0.3">
      <c r="A98" s="134" t="s">
        <v>139</v>
      </c>
      <c r="B98" s="134" t="s">
        <v>24</v>
      </c>
      <c r="C98" s="134" t="s">
        <v>142</v>
      </c>
      <c r="D98" s="134" t="s">
        <v>143</v>
      </c>
      <c r="E98" s="145"/>
      <c r="F98" s="136">
        <v>18956402.420000002</v>
      </c>
      <c r="G98" s="137">
        <v>18956402.420000002</v>
      </c>
    </row>
    <row r="99" spans="1:7" ht="23.25" thickBot="1" x14ac:dyDescent="0.3">
      <c r="A99" s="134" t="s">
        <v>139</v>
      </c>
      <c r="B99" s="134" t="s">
        <v>24</v>
      </c>
      <c r="C99" s="134" t="s">
        <v>144</v>
      </c>
      <c r="D99" s="134" t="s">
        <v>145</v>
      </c>
      <c r="E99" s="146"/>
      <c r="F99" s="135">
        <v>-153550</v>
      </c>
      <c r="G99" s="137">
        <v>-153550</v>
      </c>
    </row>
    <row r="100" spans="1:7" ht="23.25" thickBot="1" x14ac:dyDescent="0.3">
      <c r="A100" s="134" t="s">
        <v>139</v>
      </c>
      <c r="B100" s="134" t="s">
        <v>24</v>
      </c>
      <c r="C100" s="134" t="s">
        <v>110</v>
      </c>
      <c r="D100" s="134" t="s">
        <v>111</v>
      </c>
      <c r="E100" s="145"/>
      <c r="F100" s="136">
        <v>-89968</v>
      </c>
      <c r="G100" s="137">
        <v>-89968</v>
      </c>
    </row>
    <row r="101" spans="1:7" ht="23.25" thickBot="1" x14ac:dyDescent="0.3">
      <c r="A101" s="134" t="s">
        <v>139</v>
      </c>
      <c r="B101" s="134" t="s">
        <v>24</v>
      </c>
      <c r="C101" s="134" t="s">
        <v>146</v>
      </c>
      <c r="D101" s="134" t="s">
        <v>147</v>
      </c>
      <c r="E101" s="146"/>
      <c r="F101" s="135">
        <v>-4236163</v>
      </c>
      <c r="G101" s="137">
        <v>-4236163</v>
      </c>
    </row>
    <row r="102" spans="1:7" ht="23.25" thickBot="1" x14ac:dyDescent="0.3">
      <c r="A102" s="134" t="s">
        <v>139</v>
      </c>
      <c r="B102" s="134" t="s">
        <v>24</v>
      </c>
      <c r="C102" s="134" t="s">
        <v>148</v>
      </c>
      <c r="D102" s="134" t="s">
        <v>149</v>
      </c>
      <c r="E102" s="145"/>
      <c r="F102" s="136">
        <v>7670862</v>
      </c>
      <c r="G102" s="137">
        <v>7670862</v>
      </c>
    </row>
    <row r="103" spans="1:7" ht="23.25" thickBot="1" x14ac:dyDescent="0.3">
      <c r="A103" s="134" t="s">
        <v>139</v>
      </c>
      <c r="B103" s="134" t="s">
        <v>24</v>
      </c>
      <c r="C103" s="134" t="s">
        <v>148</v>
      </c>
      <c r="D103" s="134" t="s">
        <v>150</v>
      </c>
      <c r="E103" s="146"/>
      <c r="F103" s="135">
        <v>1472576</v>
      </c>
      <c r="G103" s="137">
        <v>1472576</v>
      </c>
    </row>
    <row r="104" spans="1:7" ht="23.25" thickBot="1" x14ac:dyDescent="0.3">
      <c r="A104" s="134" t="s">
        <v>139</v>
      </c>
      <c r="B104" s="134" t="s">
        <v>24</v>
      </c>
      <c r="C104" s="134" t="s">
        <v>151</v>
      </c>
      <c r="D104" s="134" t="s">
        <v>152</v>
      </c>
      <c r="E104" s="145"/>
      <c r="F104" s="136">
        <v>-144904692</v>
      </c>
      <c r="G104" s="137">
        <v>-144904692</v>
      </c>
    </row>
    <row r="105" spans="1:7" ht="23.25" thickBot="1" x14ac:dyDescent="0.3">
      <c r="A105" s="134" t="s">
        <v>139</v>
      </c>
      <c r="B105" s="134" t="s">
        <v>24</v>
      </c>
      <c r="C105" s="134" t="s">
        <v>153</v>
      </c>
      <c r="D105" s="134" t="s">
        <v>154</v>
      </c>
      <c r="E105" s="146"/>
      <c r="F105" s="135">
        <v>31395051.100000001</v>
      </c>
      <c r="G105" s="137">
        <v>31395051.100000001</v>
      </c>
    </row>
    <row r="106" spans="1:7" ht="34.5" thickBot="1" x14ac:dyDescent="0.3">
      <c r="A106" s="134" t="s">
        <v>139</v>
      </c>
      <c r="B106" s="134" t="s">
        <v>24</v>
      </c>
      <c r="C106" s="134" t="s">
        <v>112</v>
      </c>
      <c r="D106" s="134" t="s">
        <v>113</v>
      </c>
      <c r="E106" s="145"/>
      <c r="F106" s="136">
        <v>-1570219342</v>
      </c>
      <c r="G106" s="137">
        <v>-1570219342</v>
      </c>
    </row>
    <row r="107" spans="1:7" ht="23.25" thickBot="1" x14ac:dyDescent="0.3">
      <c r="A107" s="134" t="s">
        <v>139</v>
      </c>
      <c r="B107" s="134" t="s">
        <v>24</v>
      </c>
      <c r="C107" s="134" t="s">
        <v>114</v>
      </c>
      <c r="D107" s="134" t="s">
        <v>115</v>
      </c>
      <c r="E107" s="135">
        <v>-157036.54999999999</v>
      </c>
      <c r="F107" s="146"/>
      <c r="G107" s="137">
        <v>-157036.54999999999</v>
      </c>
    </row>
    <row r="108" spans="1:7" ht="23.25" thickBot="1" x14ac:dyDescent="0.3">
      <c r="A108" s="134" t="s">
        <v>139</v>
      </c>
      <c r="B108" s="134" t="s">
        <v>24</v>
      </c>
      <c r="C108" s="134" t="s">
        <v>135</v>
      </c>
      <c r="D108" s="134" t="s">
        <v>136</v>
      </c>
      <c r="E108" s="145"/>
      <c r="F108" s="136">
        <v>-94106936</v>
      </c>
      <c r="G108" s="137">
        <v>-94106936</v>
      </c>
    </row>
    <row r="109" spans="1:7" ht="23.25" thickBot="1" x14ac:dyDescent="0.3">
      <c r="A109" s="134" t="s">
        <v>139</v>
      </c>
      <c r="B109" s="134" t="s">
        <v>24</v>
      </c>
      <c r="C109" s="134" t="s">
        <v>137</v>
      </c>
      <c r="D109" s="134" t="s">
        <v>138</v>
      </c>
      <c r="E109" s="146"/>
      <c r="F109" s="135">
        <v>790709.48</v>
      </c>
      <c r="G109" s="137">
        <v>790709.48</v>
      </c>
    </row>
    <row r="110" spans="1:7" ht="23.25" thickBot="1" x14ac:dyDescent="0.3">
      <c r="A110" s="134" t="s">
        <v>139</v>
      </c>
      <c r="B110" s="134" t="s">
        <v>24</v>
      </c>
      <c r="C110" s="134" t="s">
        <v>155</v>
      </c>
      <c r="D110" s="134" t="s">
        <v>156</v>
      </c>
      <c r="E110" s="145"/>
      <c r="F110" s="136">
        <v>-2581810.13</v>
      </c>
      <c r="G110" s="137">
        <v>-2581810.13</v>
      </c>
    </row>
    <row r="111" spans="1:7" ht="23.25" thickBot="1" x14ac:dyDescent="0.3">
      <c r="A111" s="134" t="s">
        <v>139</v>
      </c>
      <c r="B111" s="134" t="s">
        <v>24</v>
      </c>
      <c r="C111" s="134" t="s">
        <v>157</v>
      </c>
      <c r="D111" s="134" t="s">
        <v>158</v>
      </c>
      <c r="E111" s="146"/>
      <c r="F111" s="135">
        <v>-28731407.5</v>
      </c>
      <c r="G111" s="137">
        <v>-28731407.5</v>
      </c>
    </row>
    <row r="112" spans="1:7" ht="23.25" thickBot="1" x14ac:dyDescent="0.3">
      <c r="A112" s="134" t="s">
        <v>139</v>
      </c>
      <c r="B112" s="134" t="s">
        <v>24</v>
      </c>
      <c r="C112" s="134" t="s">
        <v>157</v>
      </c>
      <c r="D112" s="134" t="s">
        <v>159</v>
      </c>
      <c r="E112" s="145"/>
      <c r="F112" s="136">
        <v>-218925671</v>
      </c>
      <c r="G112" s="137">
        <v>-218925671</v>
      </c>
    </row>
    <row r="113" spans="1:10" ht="23.25" thickBot="1" x14ac:dyDescent="0.3">
      <c r="A113" s="134" t="s">
        <v>139</v>
      </c>
      <c r="B113" s="134" t="s">
        <v>24</v>
      </c>
      <c r="C113" s="134" t="s">
        <v>119</v>
      </c>
      <c r="D113" s="134" t="s">
        <v>120</v>
      </c>
      <c r="E113" s="146"/>
      <c r="F113" s="135">
        <v>-334174228.94</v>
      </c>
      <c r="G113" s="137">
        <v>-334174228.94</v>
      </c>
    </row>
    <row r="114" spans="1:10" ht="23.25" thickBot="1" x14ac:dyDescent="0.3">
      <c r="A114" s="134" t="s">
        <v>139</v>
      </c>
      <c r="B114" s="134" t="s">
        <v>24</v>
      </c>
      <c r="C114" s="134" t="s">
        <v>127</v>
      </c>
      <c r="D114" s="134" t="s">
        <v>128</v>
      </c>
      <c r="E114" s="145"/>
      <c r="F114" s="136">
        <v>232428735.66</v>
      </c>
      <c r="G114" s="137">
        <v>232428735.66</v>
      </c>
    </row>
    <row r="115" spans="1:10" ht="23.25" thickBot="1" x14ac:dyDescent="0.3">
      <c r="A115" s="134" t="s">
        <v>139</v>
      </c>
      <c r="B115" s="134" t="s">
        <v>24</v>
      </c>
      <c r="C115" s="134" t="s">
        <v>129</v>
      </c>
      <c r="D115" s="134" t="s">
        <v>130</v>
      </c>
      <c r="E115" s="146"/>
      <c r="F115" s="135">
        <v>69143929.409999996</v>
      </c>
      <c r="G115" s="137">
        <v>69143929.409999996</v>
      </c>
      <c r="J115" s="2"/>
    </row>
    <row r="116" spans="1:10" ht="23.25" thickBot="1" x14ac:dyDescent="0.3">
      <c r="A116" s="134" t="s">
        <v>139</v>
      </c>
      <c r="B116" s="134" t="s">
        <v>24</v>
      </c>
      <c r="C116" s="352" t="s">
        <v>64</v>
      </c>
      <c r="D116" s="353"/>
      <c r="E116" s="137">
        <v>-157036.54999999999</v>
      </c>
      <c r="F116" s="137">
        <v>-2036907126.6800001</v>
      </c>
      <c r="G116" s="137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352" t="s">
        <v>104</v>
      </c>
      <c r="B117" s="354"/>
      <c r="C117" s="354"/>
      <c r="D117" s="353"/>
      <c r="E117" s="137">
        <v>-6926319.6299999999</v>
      </c>
      <c r="F117" s="137">
        <v>-2527561574.6799998</v>
      </c>
      <c r="G117" s="137">
        <v>-2534487894.3099999</v>
      </c>
    </row>
    <row r="119" spans="1:10" ht="16.5" thickBot="1" x14ac:dyDescent="0.3">
      <c r="A119" s="138" t="s">
        <v>162</v>
      </c>
    </row>
    <row r="120" spans="1:10" ht="23.25" thickBot="1" x14ac:dyDescent="0.3">
      <c r="A120" s="132" t="s">
        <v>54</v>
      </c>
      <c r="B120" s="133" t="s">
        <v>55</v>
      </c>
      <c r="C120" s="134" t="s">
        <v>56</v>
      </c>
      <c r="D120" s="134" t="s">
        <v>57</v>
      </c>
      <c r="E120" s="134" t="s">
        <v>161</v>
      </c>
      <c r="F120" s="135">
        <v>0</v>
      </c>
    </row>
    <row r="121" spans="1:10" ht="23.25" thickBot="1" x14ac:dyDescent="0.3">
      <c r="A121" s="132" t="s">
        <v>65</v>
      </c>
      <c r="B121" s="133" t="s">
        <v>26</v>
      </c>
      <c r="C121" s="134" t="s">
        <v>56</v>
      </c>
      <c r="D121" s="134" t="s">
        <v>57</v>
      </c>
      <c r="E121" s="134" t="s">
        <v>161</v>
      </c>
      <c r="F121" s="136">
        <v>0</v>
      </c>
    </row>
    <row r="122" spans="1:10" ht="34.5" thickBot="1" x14ac:dyDescent="0.3">
      <c r="A122" s="132" t="s">
        <v>88</v>
      </c>
      <c r="B122" s="133" t="s">
        <v>87</v>
      </c>
      <c r="C122" s="134" t="s">
        <v>56</v>
      </c>
      <c r="D122" s="134" t="s">
        <v>57</v>
      </c>
      <c r="E122" s="134" t="s">
        <v>161</v>
      </c>
      <c r="F122" s="135">
        <v>-12835961.48</v>
      </c>
    </row>
    <row r="123" spans="1:10" ht="23.25" thickBot="1" x14ac:dyDescent="0.3">
      <c r="A123" s="132" t="s">
        <v>66</v>
      </c>
      <c r="B123" s="133" t="s">
        <v>67</v>
      </c>
      <c r="C123" s="134" t="s">
        <v>56</v>
      </c>
      <c r="D123" s="134" t="s">
        <v>57</v>
      </c>
      <c r="E123" s="134" t="s">
        <v>161</v>
      </c>
      <c r="F123" s="136">
        <v>-145310.70000000001</v>
      </c>
    </row>
    <row r="124" spans="1:10" ht="23.25" thickBot="1" x14ac:dyDescent="0.3">
      <c r="A124" s="132" t="s">
        <v>72</v>
      </c>
      <c r="B124" s="133" t="s">
        <v>73</v>
      </c>
      <c r="C124" s="134" t="s">
        <v>56</v>
      </c>
      <c r="D124" s="134" t="s">
        <v>57</v>
      </c>
      <c r="E124" s="134" t="s">
        <v>161</v>
      </c>
      <c r="F124" s="135">
        <v>0</v>
      </c>
    </row>
    <row r="125" spans="1:10" ht="23.25" thickBot="1" x14ac:dyDescent="0.3">
      <c r="A125" s="132" t="s">
        <v>76</v>
      </c>
      <c r="B125" s="133" t="s">
        <v>77</v>
      </c>
      <c r="C125" s="134" t="s">
        <v>56</v>
      </c>
      <c r="D125" s="134" t="s">
        <v>57</v>
      </c>
      <c r="E125" s="134" t="s">
        <v>161</v>
      </c>
      <c r="F125" s="136">
        <v>16595.68</v>
      </c>
    </row>
    <row r="126" spans="1:10" ht="23.25" thickBot="1" x14ac:dyDescent="0.3">
      <c r="A126" s="132" t="s">
        <v>80</v>
      </c>
      <c r="B126" s="133" t="s">
        <v>24</v>
      </c>
      <c r="C126" s="134" t="s">
        <v>56</v>
      </c>
      <c r="D126" s="134" t="s">
        <v>57</v>
      </c>
      <c r="E126" s="134" t="s">
        <v>161</v>
      </c>
      <c r="F126" s="135">
        <v>54954.69</v>
      </c>
    </row>
    <row r="128" spans="1:10" ht="16.5" thickBot="1" x14ac:dyDescent="0.3">
      <c r="A128" s="138" t="s">
        <v>164</v>
      </c>
    </row>
    <row r="129" spans="1:9" ht="15.75" thickBot="1" x14ac:dyDescent="0.3">
      <c r="A129" s="347"/>
      <c r="B129" s="348"/>
      <c r="C129" s="348"/>
      <c r="D129" s="348"/>
      <c r="E129" s="349"/>
      <c r="F129" s="140"/>
      <c r="G129" s="134" t="s">
        <v>95</v>
      </c>
    </row>
    <row r="130" spans="1:9" ht="15.75" thickBot="1" x14ac:dyDescent="0.3">
      <c r="A130" s="350" t="s">
        <v>94</v>
      </c>
      <c r="B130" s="351"/>
      <c r="C130" s="350" t="s">
        <v>93</v>
      </c>
      <c r="D130" s="351"/>
      <c r="E130" s="134" t="s">
        <v>101</v>
      </c>
      <c r="F130" s="141"/>
      <c r="G130" s="140" t="s">
        <v>91</v>
      </c>
    </row>
    <row r="131" spans="1:9" ht="23.25" thickBot="1" x14ac:dyDescent="0.3">
      <c r="A131" s="139" t="s">
        <v>163</v>
      </c>
      <c r="B131" s="139" t="s">
        <v>164</v>
      </c>
      <c r="C131" s="134" t="s">
        <v>56</v>
      </c>
      <c r="D131" s="134" t="s">
        <v>57</v>
      </c>
      <c r="E131" s="134" t="s">
        <v>165</v>
      </c>
      <c r="F131" s="134" t="s">
        <v>166</v>
      </c>
      <c r="G131" s="136">
        <v>20877096.25</v>
      </c>
    </row>
    <row r="132" spans="1:9" ht="23.25" thickBot="1" x14ac:dyDescent="0.3">
      <c r="A132" s="139" t="s">
        <v>163</v>
      </c>
      <c r="B132" s="139" t="s">
        <v>164</v>
      </c>
      <c r="C132" s="134" t="s">
        <v>56</v>
      </c>
      <c r="D132" s="134" t="s">
        <v>57</v>
      </c>
      <c r="E132" s="134" t="s">
        <v>167</v>
      </c>
      <c r="F132" s="134" t="s">
        <v>168</v>
      </c>
      <c r="G132" s="135">
        <v>308.7</v>
      </c>
    </row>
    <row r="133" spans="1:9" ht="23.25" thickBot="1" x14ac:dyDescent="0.3">
      <c r="A133" s="139" t="s">
        <v>163</v>
      </c>
      <c r="B133" s="139" t="s">
        <v>164</v>
      </c>
      <c r="C133" s="134" t="s">
        <v>56</v>
      </c>
      <c r="D133" s="134" t="s">
        <v>57</v>
      </c>
      <c r="E133" s="134" t="s">
        <v>169</v>
      </c>
      <c r="F133" s="134" t="s">
        <v>170</v>
      </c>
      <c r="G133" s="136">
        <v>133657.26</v>
      </c>
    </row>
    <row r="134" spans="1:9" ht="23.25" thickBot="1" x14ac:dyDescent="0.3">
      <c r="A134" s="139" t="s">
        <v>163</v>
      </c>
      <c r="B134" s="139" t="s">
        <v>164</v>
      </c>
      <c r="C134" s="134" t="s">
        <v>56</v>
      </c>
      <c r="D134" s="134" t="s">
        <v>57</v>
      </c>
      <c r="E134" s="134" t="s">
        <v>171</v>
      </c>
      <c r="F134" s="134" t="s">
        <v>172</v>
      </c>
      <c r="G134" s="135">
        <v>12746863.82</v>
      </c>
    </row>
    <row r="135" spans="1:9" ht="34.5" thickBot="1" x14ac:dyDescent="0.3">
      <c r="A135" s="139" t="s">
        <v>163</v>
      </c>
      <c r="B135" s="139" t="s">
        <v>164</v>
      </c>
      <c r="C135" s="134" t="s">
        <v>56</v>
      </c>
      <c r="D135" s="134" t="s">
        <v>57</v>
      </c>
      <c r="E135" s="134" t="s">
        <v>173</v>
      </c>
      <c r="F135" s="134" t="s">
        <v>174</v>
      </c>
      <c r="G135" s="136">
        <v>184649.82</v>
      </c>
    </row>
    <row r="136" spans="1:9" ht="23.25" thickBot="1" x14ac:dyDescent="0.3">
      <c r="A136" s="139" t="s">
        <v>163</v>
      </c>
      <c r="B136" s="139" t="s">
        <v>164</v>
      </c>
      <c r="C136" s="134" t="s">
        <v>56</v>
      </c>
      <c r="D136" s="134" t="s">
        <v>57</v>
      </c>
      <c r="E136" s="134" t="s">
        <v>175</v>
      </c>
      <c r="F136" s="134" t="s">
        <v>176</v>
      </c>
      <c r="G136" s="135">
        <v>-2625</v>
      </c>
    </row>
    <row r="137" spans="1:9" s="152" customFormat="1" ht="15.75" thickBot="1" x14ac:dyDescent="0.3">
      <c r="A137" s="382" t="s">
        <v>185</v>
      </c>
      <c r="B137" s="383"/>
      <c r="C137" s="383"/>
      <c r="D137" s="383"/>
      <c r="E137" s="383"/>
      <c r="F137" s="384"/>
      <c r="G137" s="135">
        <v>-2536.91</v>
      </c>
    </row>
    <row r="138" spans="1:9" ht="23.25" thickBot="1" x14ac:dyDescent="0.3">
      <c r="A138" s="139" t="s">
        <v>163</v>
      </c>
      <c r="B138" s="139" t="s">
        <v>164</v>
      </c>
      <c r="C138" s="134" t="s">
        <v>56</v>
      </c>
      <c r="D138" s="134" t="s">
        <v>57</v>
      </c>
      <c r="E138" s="352" t="s">
        <v>64</v>
      </c>
      <c r="F138" s="353"/>
      <c r="G138" s="137">
        <f>SUM(G131:G137)</f>
        <v>33937413.940000005</v>
      </c>
      <c r="H138" s="142">
        <v>33463385.48</v>
      </c>
      <c r="I138" s="2">
        <f>+G138-H138</f>
        <v>474028.46000000462</v>
      </c>
    </row>
    <row r="139" spans="1:9" ht="23.25" thickBot="1" x14ac:dyDescent="0.3">
      <c r="A139" s="139" t="s">
        <v>163</v>
      </c>
      <c r="B139" s="139" t="s">
        <v>164</v>
      </c>
      <c r="C139" s="352" t="s">
        <v>64</v>
      </c>
      <c r="D139" s="354"/>
      <c r="E139" s="354"/>
      <c r="F139" s="353"/>
      <c r="G139" s="137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42">
        <v>33463385.48</v>
      </c>
    </row>
    <row r="143" spans="1:9" x14ac:dyDescent="0.25">
      <c r="H143" s="142">
        <v>474028.46</v>
      </c>
    </row>
    <row r="144" spans="1:9" x14ac:dyDescent="0.25">
      <c r="H144" s="142">
        <f>+H143+H142</f>
        <v>33937413.939999998</v>
      </c>
    </row>
    <row r="145" spans="8:8" x14ac:dyDescent="0.25">
      <c r="H145" s="153">
        <f>+G138-H144</f>
        <v>0</v>
      </c>
    </row>
  </sheetData>
  <mergeCells count="49"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  <mergeCell ref="A42:B42"/>
    <mergeCell ref="C29:H29"/>
    <mergeCell ref="G32:H32"/>
    <mergeCell ref="E33:H33"/>
    <mergeCell ref="C34:H34"/>
    <mergeCell ref="G36:H36"/>
    <mergeCell ref="C42:D42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T101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38.5703125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8" width="15.7109375" customWidth="1"/>
    <col min="9" max="9" width="90" customWidth="1"/>
    <col min="10" max="20" width="0" style="10" hidden="1" customWidth="1"/>
    <col min="21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344" t="s">
        <v>800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C4" s="160"/>
      <c r="D4" s="160"/>
      <c r="E4" s="160"/>
      <c r="F4" s="160"/>
    </row>
    <row r="5" spans="1:15" ht="15" customHeight="1" x14ac:dyDescent="0.25">
      <c r="A5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20" t="s">
        <v>758</v>
      </c>
      <c r="H5" s="4" t="s">
        <v>10</v>
      </c>
      <c r="I5" s="6" t="s">
        <v>11</v>
      </c>
    </row>
    <row r="6" spans="1:15" s="40" customFormat="1" ht="15" customHeight="1" x14ac:dyDescent="0.25">
      <c r="A6" s="27" t="s">
        <v>24</v>
      </c>
      <c r="B6" s="49"/>
      <c r="C6" s="164"/>
      <c r="D6" s="164"/>
      <c r="E6" s="164"/>
      <c r="F6" s="164"/>
      <c r="G6" s="47"/>
      <c r="H6" s="47"/>
      <c r="I6" s="47"/>
    </row>
    <row r="7" spans="1:15" s="40" customFormat="1" ht="15" customHeight="1" x14ac:dyDescent="0.25">
      <c r="A7" s="159" t="s">
        <v>24</v>
      </c>
      <c r="B7" s="167" t="s">
        <v>0</v>
      </c>
      <c r="C7" s="168">
        <v>588391.58050430205</v>
      </c>
      <c r="D7" s="165">
        <v>476528.66359255766</v>
      </c>
      <c r="E7" s="165">
        <v>306472.59850947402</v>
      </c>
      <c r="F7" s="165">
        <v>264550.01573305228</v>
      </c>
      <c r="G7" s="94">
        <f t="shared" ref="G7:G38" si="0">IF(ISERROR(C7- D7)=TRUE,"",C7 - D7)</f>
        <v>111862.9169117444</v>
      </c>
      <c r="H7" s="91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23,5%▲</v>
      </c>
      <c r="I7" s="106"/>
      <c r="J7" s="39"/>
      <c r="K7" s="39"/>
      <c r="L7" s="39"/>
      <c r="M7" s="39"/>
      <c r="N7" s="39"/>
      <c r="O7" s="39"/>
    </row>
    <row r="8" spans="1:15" s="40" customFormat="1" ht="15" customHeight="1" x14ac:dyDescent="0.25">
      <c r="A8" s="159" t="s">
        <v>24</v>
      </c>
      <c r="B8" s="163" t="s">
        <v>1</v>
      </c>
      <c r="C8" s="169">
        <v>2963343.8157294239</v>
      </c>
      <c r="D8" s="166">
        <v>2129725.9575020475</v>
      </c>
      <c r="E8" s="166">
        <v>216250.2233933417</v>
      </c>
      <c r="F8" s="166">
        <v>182275.07314687333</v>
      </c>
      <c r="G8" s="96">
        <f t="shared" si="0"/>
        <v>833617.85822737636</v>
      </c>
      <c r="H8" s="92" t="str">
        <f t="shared" si="1"/>
        <v>39,1%▲</v>
      </c>
      <c r="I8" s="93"/>
      <c r="J8" s="39"/>
      <c r="K8" s="39"/>
      <c r="L8" s="39"/>
      <c r="M8" s="39"/>
      <c r="N8" s="39"/>
      <c r="O8" s="39"/>
    </row>
    <row r="9" spans="1:15" s="40" customFormat="1" ht="15" customHeight="1" x14ac:dyDescent="0.25">
      <c r="A9" s="159" t="s">
        <v>24</v>
      </c>
      <c r="B9" s="167" t="s">
        <v>2</v>
      </c>
      <c r="C9" s="168">
        <f>-1334581.66892001-119850.150456491</f>
        <v>-1454431.819376501</v>
      </c>
      <c r="D9" s="165">
        <v>-1786492.8973632255</v>
      </c>
      <c r="E9" s="165">
        <v>136191.13568349811</v>
      </c>
      <c r="F9" s="165">
        <v>197919.22391171023</v>
      </c>
      <c r="G9" s="94">
        <f t="shared" si="0"/>
        <v>332061.07798672444</v>
      </c>
      <c r="H9" s="91" t="str">
        <f t="shared" si="1"/>
        <v>-18,6%▼</v>
      </c>
      <c r="I9" s="106"/>
      <c r="J9" s="39"/>
      <c r="K9" s="39"/>
      <c r="L9" s="39"/>
      <c r="M9" s="39"/>
      <c r="N9" s="39"/>
      <c r="O9" s="39"/>
    </row>
    <row r="10" spans="1:15" s="40" customFormat="1" ht="15" customHeight="1" x14ac:dyDescent="0.25">
      <c r="A10" s="159" t="s">
        <v>24</v>
      </c>
      <c r="B10" s="163" t="s">
        <v>3</v>
      </c>
      <c r="C10" s="169">
        <v>140.36643167577782</v>
      </c>
      <c r="D10" s="166">
        <v>296.28982598123912</v>
      </c>
      <c r="E10" s="166">
        <v>291.16685227470191</v>
      </c>
      <c r="F10" s="166">
        <v>85.768313562238191</v>
      </c>
      <c r="G10" s="96">
        <f t="shared" si="0"/>
        <v>-155.9233943054613</v>
      </c>
      <c r="H10" s="92" t="str">
        <f t="shared" si="1"/>
        <v>-52,6%▼</v>
      </c>
      <c r="I10" s="93"/>
      <c r="J10" s="39"/>
      <c r="K10" s="39"/>
      <c r="L10" s="39"/>
      <c r="M10" s="39"/>
      <c r="N10" s="39"/>
      <c r="O10" s="39"/>
    </row>
    <row r="11" spans="1:15" s="40" customFormat="1" ht="15" customHeight="1" x14ac:dyDescent="0.25">
      <c r="A11" s="159" t="s">
        <v>24</v>
      </c>
      <c r="B11" s="167" t="s">
        <v>4</v>
      </c>
      <c r="C11" s="168"/>
      <c r="D11" s="165"/>
      <c r="E11" s="165"/>
      <c r="F11" s="165"/>
      <c r="G11" s="94">
        <f t="shared" si="0"/>
        <v>0</v>
      </c>
      <c r="H11" s="91" t="str">
        <f t="shared" si="1"/>
        <v/>
      </c>
      <c r="I11" s="106"/>
      <c r="J11" s="39"/>
      <c r="K11" s="39"/>
      <c r="L11" s="39"/>
      <c r="M11" s="39"/>
      <c r="N11" s="39"/>
      <c r="O11" s="39"/>
    </row>
    <row r="12" spans="1:15" s="40" customFormat="1" ht="15" customHeight="1" x14ac:dyDescent="0.25">
      <c r="A12" s="159" t="s">
        <v>24</v>
      </c>
      <c r="B12" s="163" t="s">
        <v>5</v>
      </c>
      <c r="C12" s="169">
        <v>-190750.36234547509</v>
      </c>
      <c r="D12" s="166">
        <v>-154797.94059383014</v>
      </c>
      <c r="E12" s="166">
        <v>-165207.95058909128</v>
      </c>
      <c r="F12" s="166">
        <v>-126888.08352720915</v>
      </c>
      <c r="G12" s="96">
        <f t="shared" si="0"/>
        <v>-35952.421751644957</v>
      </c>
      <c r="H12" s="92" t="str">
        <f t="shared" si="1"/>
        <v>23,2%▲</v>
      </c>
      <c r="I12" s="93"/>
      <c r="J12" s="39"/>
      <c r="K12" s="39"/>
      <c r="L12" s="39"/>
      <c r="M12" s="39"/>
      <c r="N12" s="39"/>
      <c r="O12" s="39"/>
    </row>
    <row r="13" spans="1:15" s="40" customFormat="1" ht="15" customHeight="1" x14ac:dyDescent="0.25">
      <c r="A13" s="159" t="s">
        <v>24</v>
      </c>
      <c r="B13" s="167" t="s">
        <v>6</v>
      </c>
      <c r="C13" s="168">
        <v>-777948.25106606004</v>
      </c>
      <c r="D13" s="165"/>
      <c r="E13" s="165">
        <v>-548.2765127794504</v>
      </c>
      <c r="F13" s="165"/>
      <c r="G13" s="94">
        <f t="shared" si="0"/>
        <v>-777948.25106606004</v>
      </c>
      <c r="H13" s="91" t="str">
        <f t="shared" si="1"/>
        <v/>
      </c>
      <c r="I13" s="106"/>
      <c r="J13" s="39"/>
      <c r="K13" s="39"/>
      <c r="L13" s="39"/>
      <c r="M13" s="39"/>
      <c r="N13" s="39"/>
      <c r="O13" s="39"/>
    </row>
    <row r="14" spans="1:15" s="40" customFormat="1" ht="15" customHeight="1" x14ac:dyDescent="0.25">
      <c r="A14" s="159" t="s">
        <v>24</v>
      </c>
      <c r="B14" s="163" t="s">
        <v>7</v>
      </c>
      <c r="C14" s="169"/>
      <c r="D14" s="166"/>
      <c r="E14" s="166"/>
      <c r="F14" s="166"/>
      <c r="G14" s="96">
        <f t="shared" si="0"/>
        <v>0</v>
      </c>
      <c r="H14" s="92" t="str">
        <f t="shared" si="1"/>
        <v/>
      </c>
      <c r="I14" s="93"/>
      <c r="J14" s="39"/>
      <c r="K14" s="39"/>
      <c r="L14" s="39"/>
      <c r="M14" s="39"/>
      <c r="N14" s="39"/>
      <c r="O14" s="39"/>
    </row>
    <row r="15" spans="1:15" s="40" customFormat="1" ht="15" customHeight="1" x14ac:dyDescent="0.25">
      <c r="A15" s="104" t="s">
        <v>24</v>
      </c>
      <c r="B15" s="107" t="s">
        <v>8</v>
      </c>
      <c r="C15" s="63">
        <f>SUMIFS((C7:C14),(A7:A14),A15)</f>
        <v>1128745.3298773658</v>
      </c>
      <c r="D15" s="63">
        <f>SUMIFS((D7:D14),(A7:A14),A15)</f>
        <v>665260.07296353066</v>
      </c>
      <c r="E15" s="63">
        <f>SUMIFS((E7:E14),(A7:A14),A15)</f>
        <v>493448.89733671775</v>
      </c>
      <c r="F15" s="63">
        <f>SUMIFS((F7:F14),(A7:A14),A15)</f>
        <v>517941.99757798901</v>
      </c>
      <c r="G15" s="97">
        <f t="shared" si="0"/>
        <v>463485.25691383518</v>
      </c>
      <c r="H15" s="85" t="str">
        <f t="shared" si="1"/>
        <v>69,7%▲</v>
      </c>
      <c r="I15" s="105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47</v>
      </c>
      <c r="B16" s="49"/>
      <c r="C16" s="98"/>
      <c r="D16" s="98"/>
      <c r="E16" s="98"/>
      <c r="F16" s="98"/>
      <c r="G16" s="96">
        <f t="shared" si="0"/>
        <v>0</v>
      </c>
      <c r="H16" s="92" t="str">
        <f t="shared" si="1"/>
        <v/>
      </c>
      <c r="I16" s="47"/>
    </row>
    <row r="17" spans="1:15" ht="15" customHeight="1" x14ac:dyDescent="0.25">
      <c r="A17" s="159" t="s">
        <v>47</v>
      </c>
      <c r="B17" s="167" t="s">
        <v>0</v>
      </c>
      <c r="C17" s="168">
        <v>127031.14378499659</v>
      </c>
      <c r="D17" s="165">
        <v>92785.456202665373</v>
      </c>
      <c r="E17" s="165">
        <v>52797.134465994233</v>
      </c>
      <c r="F17" s="165">
        <v>42321.082499184748</v>
      </c>
      <c r="G17" s="94">
        <f t="shared" si="0"/>
        <v>34245.687582331215</v>
      </c>
      <c r="H17" s="91" t="str">
        <f t="shared" si="1"/>
        <v>36,9%▲</v>
      </c>
      <c r="I17" s="106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47</v>
      </c>
      <c r="B18" s="163" t="s">
        <v>1</v>
      </c>
      <c r="C18" s="169">
        <v>409286.27454181766</v>
      </c>
      <c r="D18" s="166">
        <v>187660.98945052768</v>
      </c>
      <c r="E18" s="166">
        <v>55297.475597550743</v>
      </c>
      <c r="F18" s="166">
        <v>46465.703311824749</v>
      </c>
      <c r="G18" s="96">
        <f t="shared" si="0"/>
        <v>221625.28509128999</v>
      </c>
      <c r="H18" s="92" t="str">
        <f t="shared" si="1"/>
        <v>118,1%▲</v>
      </c>
      <c r="I18" s="93"/>
      <c r="J18" s="154"/>
      <c r="K18" s="154"/>
      <c r="L18" s="154"/>
      <c r="M18" s="154"/>
      <c r="N18" s="154"/>
      <c r="O18" s="154"/>
    </row>
    <row r="19" spans="1:15" ht="15" customHeight="1" x14ac:dyDescent="0.25">
      <c r="A19" s="159" t="s">
        <v>47</v>
      </c>
      <c r="B19" s="167" t="s">
        <v>2</v>
      </c>
      <c r="C19" s="168">
        <f>23879.6574829236-24953.0336417416</f>
        <v>-1073.3761588179987</v>
      </c>
      <c r="D19" s="165">
        <v>-92593.693520071844</v>
      </c>
      <c r="E19" s="165">
        <v>39827.045251737516</v>
      </c>
      <c r="F19" s="165">
        <v>52712.677218341756</v>
      </c>
      <c r="G19" s="94">
        <f t="shared" si="0"/>
        <v>91520.317361253838</v>
      </c>
      <c r="H19" s="91" t="str">
        <f t="shared" si="1"/>
        <v>-98,8%▼</v>
      </c>
      <c r="I19" s="106"/>
      <c r="J19" s="154"/>
      <c r="K19" s="154"/>
      <c r="L19" s="154"/>
      <c r="M19" s="154"/>
      <c r="N19" s="154"/>
      <c r="O19" s="154"/>
    </row>
    <row r="20" spans="1:15" ht="15" customHeight="1" x14ac:dyDescent="0.25">
      <c r="A20" s="159" t="s">
        <v>47</v>
      </c>
      <c r="B20" s="163" t="s">
        <v>3</v>
      </c>
      <c r="C20" s="169">
        <v>10.758259167932879</v>
      </c>
      <c r="D20" s="166">
        <v>20.976319305646133</v>
      </c>
      <c r="E20" s="166">
        <v>21.568056104046967</v>
      </c>
      <c r="F20" s="166">
        <v>5.9828105390276605</v>
      </c>
      <c r="G20" s="96">
        <f t="shared" si="0"/>
        <v>-10.218060137713254</v>
      </c>
      <c r="H20" s="92" t="str">
        <f t="shared" si="1"/>
        <v>-48,7%▼</v>
      </c>
      <c r="I20" s="93"/>
      <c r="J20" s="154"/>
      <c r="K20" s="154"/>
      <c r="L20" s="154"/>
      <c r="M20" s="154"/>
      <c r="N20" s="154"/>
      <c r="O20" s="154"/>
    </row>
    <row r="21" spans="1:15" ht="15" customHeight="1" x14ac:dyDescent="0.25">
      <c r="A21" s="159" t="s">
        <v>47</v>
      </c>
      <c r="B21" s="167" t="s">
        <v>4</v>
      </c>
      <c r="C21" s="168"/>
      <c r="D21" s="165"/>
      <c r="E21" s="165"/>
      <c r="F21" s="165"/>
      <c r="G21" s="94">
        <f t="shared" si="0"/>
        <v>0</v>
      </c>
      <c r="H21" s="91" t="str">
        <f t="shared" si="1"/>
        <v/>
      </c>
      <c r="I21" s="106"/>
      <c r="J21" s="154"/>
      <c r="K21" s="154"/>
      <c r="L21" s="154"/>
      <c r="M21" s="154"/>
      <c r="N21" s="154"/>
      <c r="O21" s="154"/>
    </row>
    <row r="22" spans="1:15" ht="15" customHeight="1" x14ac:dyDescent="0.25">
      <c r="A22" s="159" t="s">
        <v>47</v>
      </c>
      <c r="B22" s="163" t="s">
        <v>5</v>
      </c>
      <c r="C22" s="169">
        <v>-31445.514493061281</v>
      </c>
      <c r="D22" s="166">
        <v>-24349.968721462374</v>
      </c>
      <c r="E22" s="166">
        <v>-28040.766159112063</v>
      </c>
      <c r="F22" s="166">
        <v>-18190.319605569624</v>
      </c>
      <c r="G22" s="96">
        <f t="shared" si="0"/>
        <v>-7095.5457715989069</v>
      </c>
      <c r="H22" s="92" t="str">
        <f t="shared" si="1"/>
        <v>29,1%▲</v>
      </c>
      <c r="I22" s="93"/>
      <c r="J22" s="154"/>
      <c r="K22" s="154"/>
      <c r="L22" s="154"/>
      <c r="M22" s="154"/>
      <c r="N22" s="154"/>
      <c r="O22" s="154"/>
    </row>
    <row r="23" spans="1:15" ht="15" customHeight="1" x14ac:dyDescent="0.25">
      <c r="A23" s="159" t="s">
        <v>47</v>
      </c>
      <c r="B23" s="167" t="s">
        <v>6</v>
      </c>
      <c r="C23" s="168">
        <v>-210529.95343946139</v>
      </c>
      <c r="D23" s="165"/>
      <c r="E23" s="165">
        <v>-145.54088763780095</v>
      </c>
      <c r="F23" s="165"/>
      <c r="G23" s="94">
        <f t="shared" si="0"/>
        <v>-210529.95343946139</v>
      </c>
      <c r="H23" s="91" t="str">
        <f t="shared" si="1"/>
        <v/>
      </c>
      <c r="I23" s="106"/>
      <c r="J23" s="154"/>
      <c r="K23" s="154"/>
      <c r="L23" s="154"/>
      <c r="M23" s="154"/>
      <c r="N23" s="154"/>
      <c r="O23" s="154"/>
    </row>
    <row r="24" spans="1:15" ht="15" customHeight="1" x14ac:dyDescent="0.25">
      <c r="A24" s="159" t="s">
        <v>47</v>
      </c>
      <c r="B24" s="163" t="s">
        <v>7</v>
      </c>
      <c r="C24" s="169"/>
      <c r="D24" s="166"/>
      <c r="E24" s="166"/>
      <c r="F24" s="166"/>
      <c r="G24" s="96">
        <f t="shared" si="0"/>
        <v>0</v>
      </c>
      <c r="H24" s="92" t="str">
        <f t="shared" si="1"/>
        <v/>
      </c>
      <c r="I24" s="93"/>
      <c r="J24" s="154"/>
      <c r="K24" s="154"/>
      <c r="L24" s="154"/>
      <c r="M24" s="154"/>
      <c r="N24" s="154"/>
      <c r="O24" s="154"/>
    </row>
    <row r="25" spans="1:15" s="40" customFormat="1" ht="15" customHeight="1" x14ac:dyDescent="0.25">
      <c r="A25" s="104" t="s">
        <v>47</v>
      </c>
      <c r="B25" s="107" t="s">
        <v>8</v>
      </c>
      <c r="C25" s="63">
        <f>SUMIFS((C7:C24),(A7:A24),A25)</f>
        <v>293279.33249464142</v>
      </c>
      <c r="D25" s="63">
        <f>SUMIFS((D7:D24),(A7:A24),A25)</f>
        <v>163523.75973096446</v>
      </c>
      <c r="E25" s="63">
        <f>SUMIFS((E7:E24),(A7:A24),A25)</f>
        <v>119756.91632463665</v>
      </c>
      <c r="F25" s="63">
        <f>SUMIFS((F7:F24),(A7:A24),A25)</f>
        <v>123315.12623432066</v>
      </c>
      <c r="G25" s="97">
        <f t="shared" si="0"/>
        <v>129755.57276367696</v>
      </c>
      <c r="H25" s="85" t="str">
        <f t="shared" si="1"/>
        <v>79,3%▲</v>
      </c>
      <c r="I25" s="105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27" t="s">
        <v>48</v>
      </c>
      <c r="B26" s="49"/>
      <c r="C26" s="98"/>
      <c r="D26" s="98"/>
      <c r="E26" s="98"/>
      <c r="F26" s="98"/>
      <c r="G26" s="96">
        <f t="shared" si="0"/>
        <v>0</v>
      </c>
      <c r="H26" s="92" t="str">
        <f t="shared" si="1"/>
        <v/>
      </c>
      <c r="I26" s="47"/>
    </row>
    <row r="27" spans="1:15" s="40" customFormat="1" ht="15" customHeight="1" x14ac:dyDescent="0.25">
      <c r="A27" s="159" t="s">
        <v>48</v>
      </c>
      <c r="B27" s="167" t="s">
        <v>0</v>
      </c>
      <c r="C27" s="168">
        <v>159392.11109558237</v>
      </c>
      <c r="D27" s="165">
        <v>117158.77594447836</v>
      </c>
      <c r="E27" s="165">
        <v>64743.330667974842</v>
      </c>
      <c r="F27" s="165">
        <v>54380.528085190104</v>
      </c>
      <c r="G27" s="94">
        <f t="shared" si="0"/>
        <v>42233.335151104009</v>
      </c>
      <c r="H27" s="91" t="str">
        <f t="shared" si="1"/>
        <v>36,0%▲</v>
      </c>
      <c r="I27" s="106"/>
      <c r="J27" s="39"/>
      <c r="K27" s="39"/>
      <c r="L27" s="39"/>
      <c r="M27" s="39"/>
      <c r="N27" s="39"/>
      <c r="O27" s="39"/>
    </row>
    <row r="28" spans="1:15" s="40" customFormat="1" ht="15" customHeight="1" x14ac:dyDescent="0.25">
      <c r="A28" s="159" t="s">
        <v>48</v>
      </c>
      <c r="B28" s="163" t="s">
        <v>1</v>
      </c>
      <c r="C28" s="169">
        <v>497850.80326121603</v>
      </c>
      <c r="D28" s="166">
        <v>224312.14608798409</v>
      </c>
      <c r="E28" s="166">
        <v>68794.049455425076</v>
      </c>
      <c r="F28" s="166">
        <v>58914.14054337448</v>
      </c>
      <c r="G28" s="96">
        <f t="shared" si="0"/>
        <v>273538.65717323194</v>
      </c>
      <c r="H28" s="92" t="str">
        <f t="shared" si="1"/>
        <v>121,9%▲</v>
      </c>
      <c r="I28" s="93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9" t="s">
        <v>48</v>
      </c>
      <c r="B29" s="167" t="s">
        <v>2</v>
      </c>
      <c r="C29" s="168">
        <f>51216.6802656749-31246.9651931406</f>
        <v>19969.715072534298</v>
      </c>
      <c r="D29" s="165">
        <v>-102699.44708532913</v>
      </c>
      <c r="E29" s="165">
        <v>49731.597154275136</v>
      </c>
      <c r="F29" s="165">
        <v>66769.840232164497</v>
      </c>
      <c r="G29" s="94">
        <f t="shared" si="0"/>
        <v>122669.16215786342</v>
      </c>
      <c r="H29" s="91" t="str">
        <f t="shared" si="1"/>
        <v>-119,4%▼</v>
      </c>
      <c r="I29" s="106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9" t="s">
        <v>48</v>
      </c>
      <c r="B30" s="163" t="s">
        <v>3</v>
      </c>
      <c r="C30" s="169">
        <v>12.167442776973729</v>
      </c>
      <c r="D30" s="166">
        <v>24.441558008106234</v>
      </c>
      <c r="E30" s="166">
        <v>24.887869588786177</v>
      </c>
      <c r="F30" s="99">
        <v>8.041740746023331</v>
      </c>
      <c r="G30" s="96">
        <f t="shared" si="0"/>
        <v>-12.274115231132505</v>
      </c>
      <c r="H30" s="92" t="str">
        <f t="shared" si="1"/>
        <v>-50,2%▼</v>
      </c>
      <c r="I30" s="93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9" t="s">
        <v>48</v>
      </c>
      <c r="B31" s="167" t="s">
        <v>4</v>
      </c>
      <c r="C31" s="168"/>
      <c r="D31" s="165"/>
      <c r="E31" s="165"/>
      <c r="F31" s="100"/>
      <c r="G31" s="94">
        <f t="shared" si="0"/>
        <v>0</v>
      </c>
      <c r="H31" s="91" t="str">
        <f t="shared" si="1"/>
        <v/>
      </c>
      <c r="I31" s="106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9" t="s">
        <v>48</v>
      </c>
      <c r="B32" s="163" t="s">
        <v>5</v>
      </c>
      <c r="C32" s="169">
        <v>-38792.957732945302</v>
      </c>
      <c r="D32" s="166">
        <v>-30423.792094423461</v>
      </c>
      <c r="E32" s="166">
        <v>-34362.507371569329</v>
      </c>
      <c r="F32" s="99">
        <v>-23470.166604009246</v>
      </c>
      <c r="G32" s="96">
        <f t="shared" si="0"/>
        <v>-8369.1656385218412</v>
      </c>
      <c r="H32" s="92" t="str">
        <f t="shared" si="1"/>
        <v>27,5%▲</v>
      </c>
      <c r="I32" s="93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59" t="s">
        <v>48</v>
      </c>
      <c r="B33" s="167" t="s">
        <v>6</v>
      </c>
      <c r="C33" s="168">
        <v>-267062.21152822976</v>
      </c>
      <c r="D33" s="165"/>
      <c r="E33" s="165">
        <v>-181.25971659414043</v>
      </c>
      <c r="F33" s="165"/>
      <c r="G33" s="94">
        <f t="shared" si="0"/>
        <v>-267062.21152822976</v>
      </c>
      <c r="H33" s="91" t="str">
        <f t="shared" si="1"/>
        <v/>
      </c>
      <c r="I33" s="106"/>
      <c r="J33" s="39"/>
      <c r="K33" s="39"/>
      <c r="L33" s="39"/>
      <c r="M33" s="39"/>
      <c r="N33" s="39"/>
      <c r="O33" s="39"/>
    </row>
    <row r="34" spans="1:15" s="40" customFormat="1" ht="15" customHeight="1" x14ac:dyDescent="0.25">
      <c r="A34" s="159" t="s">
        <v>48</v>
      </c>
      <c r="B34" s="163" t="s">
        <v>7</v>
      </c>
      <c r="C34" s="169"/>
      <c r="D34" s="166"/>
      <c r="E34" s="166"/>
      <c r="F34" s="166"/>
      <c r="G34" s="96">
        <f t="shared" si="0"/>
        <v>0</v>
      </c>
      <c r="H34" s="92" t="str">
        <f t="shared" si="1"/>
        <v/>
      </c>
      <c r="I34" s="93"/>
      <c r="J34" s="39"/>
      <c r="K34" s="39"/>
      <c r="L34" s="39"/>
      <c r="M34" s="39"/>
      <c r="N34" s="39"/>
      <c r="O34" s="39"/>
    </row>
    <row r="35" spans="1:15" s="40" customFormat="1" ht="15" customHeight="1" x14ac:dyDescent="0.25">
      <c r="A35" s="104" t="s">
        <v>48</v>
      </c>
      <c r="B35" s="107" t="s">
        <v>8</v>
      </c>
      <c r="C35" s="63">
        <f>SUMIFS((C7:C34),(A7:A34),A35)</f>
        <v>371369.62761093455</v>
      </c>
      <c r="D35" s="63">
        <f>SUMIFS((D7:D34),(A7:A34),A35)</f>
        <v>208372.12441071795</v>
      </c>
      <c r="E35" s="63">
        <f>SUMIFS((E7:E34),(A7:A34),A35)</f>
        <v>148750.09805910039</v>
      </c>
      <c r="F35" s="63">
        <f>SUMIFS((F7:F34),(A7:A34),A35)</f>
        <v>156602.38399746586</v>
      </c>
      <c r="G35" s="97">
        <f t="shared" si="0"/>
        <v>162997.5032002166</v>
      </c>
      <c r="H35" s="85" t="str">
        <f t="shared" si="1"/>
        <v>78,2%▲</v>
      </c>
      <c r="I35" s="105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8"/>
      <c r="D36" s="98"/>
      <c r="E36" s="98"/>
      <c r="F36" s="98"/>
      <c r="G36" s="96">
        <f t="shared" si="0"/>
        <v>0</v>
      </c>
      <c r="H36" s="92" t="str">
        <f t="shared" si="1"/>
        <v/>
      </c>
      <c r="I36" s="47"/>
    </row>
    <row r="37" spans="1:15" s="40" customFormat="1" ht="15" customHeight="1" x14ac:dyDescent="0.25">
      <c r="A37" s="159" t="s">
        <v>46</v>
      </c>
      <c r="B37" s="167" t="s">
        <v>0</v>
      </c>
      <c r="C37" s="168">
        <v>322864.41362745757</v>
      </c>
      <c r="D37" s="165">
        <v>254290.22012500488</v>
      </c>
      <c r="E37" s="165">
        <v>153571.08956987577</v>
      </c>
      <c r="F37" s="165">
        <v>128559.64917388328</v>
      </c>
      <c r="G37" s="94">
        <f t="shared" si="0"/>
        <v>68574.19350245269</v>
      </c>
      <c r="H37" s="91" t="str">
        <f t="shared" si="1"/>
        <v>27,0%▲</v>
      </c>
      <c r="I37" s="106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9" t="s">
        <v>46</v>
      </c>
      <c r="B38" s="163" t="s">
        <v>1</v>
      </c>
      <c r="C38" s="169">
        <v>1513299.4979036585</v>
      </c>
      <c r="D38" s="166">
        <v>999930.07728689967</v>
      </c>
      <c r="E38" s="166">
        <v>120947.73219129143</v>
      </c>
      <c r="F38" s="166">
        <v>101350.61971424725</v>
      </c>
      <c r="G38" s="96">
        <f t="shared" si="0"/>
        <v>513369.42061675887</v>
      </c>
      <c r="H38" s="92" t="str">
        <f t="shared" si="1"/>
        <v>51,3%▲</v>
      </c>
      <c r="I38" s="93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9" t="s">
        <v>46</v>
      </c>
      <c r="B39" s="167" t="s">
        <v>2</v>
      </c>
      <c r="C39" s="168">
        <f>-579676.608983083-65313.521976391</f>
        <v>-644990.13095947402</v>
      </c>
      <c r="D39" s="165">
        <v>-799786.03672601911</v>
      </c>
      <c r="E39" s="165">
        <v>79659.960851296171</v>
      </c>
      <c r="F39" s="165">
        <v>111716.46801170285</v>
      </c>
      <c r="G39" s="94">
        <f t="shared" ref="G39:G70" si="2">IF(ISERROR(C39- D39)=TRUE,"",C39 - D39)</f>
        <v>154795.9057665451</v>
      </c>
      <c r="H39" s="91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-19,4%▼</v>
      </c>
      <c r="I39" s="106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9" t="s">
        <v>46</v>
      </c>
      <c r="B40" s="163" t="s">
        <v>3</v>
      </c>
      <c r="C40" s="169">
        <v>67.460075630727914</v>
      </c>
      <c r="D40" s="166">
        <v>136.02482228334915</v>
      </c>
      <c r="E40" s="166">
        <v>125.95645479306962</v>
      </c>
      <c r="F40" s="166">
        <v>35.968710505322441</v>
      </c>
      <c r="G40" s="96">
        <f t="shared" si="2"/>
        <v>-68.564746652621238</v>
      </c>
      <c r="H40" s="92" t="str">
        <f t="shared" si="3"/>
        <v>-50,4%▼</v>
      </c>
      <c r="I40" s="93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9" t="s">
        <v>46</v>
      </c>
      <c r="B41" s="167" t="s">
        <v>4</v>
      </c>
      <c r="C41" s="168"/>
      <c r="D41" s="165"/>
      <c r="E41" s="165"/>
      <c r="F41" s="165"/>
      <c r="G41" s="94">
        <f t="shared" si="2"/>
        <v>0</v>
      </c>
      <c r="H41" s="91" t="str">
        <f t="shared" si="3"/>
        <v/>
      </c>
      <c r="I41" s="106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9" t="s">
        <v>46</v>
      </c>
      <c r="B42" s="163" t="s">
        <v>5</v>
      </c>
      <c r="C42" s="169">
        <v>-99905.932177608251</v>
      </c>
      <c r="D42" s="166">
        <v>-79121.563917725725</v>
      </c>
      <c r="E42" s="166">
        <v>-82491.330401036597</v>
      </c>
      <c r="F42" s="166">
        <v>-60105.879783084398</v>
      </c>
      <c r="G42" s="96">
        <f t="shared" si="2"/>
        <v>-20784.368259882525</v>
      </c>
      <c r="H42" s="92" t="str">
        <f t="shared" si="3"/>
        <v>26,3%▲</v>
      </c>
      <c r="I42" s="93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9" t="s">
        <v>46</v>
      </c>
      <c r="B43" s="167" t="s">
        <v>6</v>
      </c>
      <c r="C43" s="168">
        <v>-447706.67794323945</v>
      </c>
      <c r="D43" s="165"/>
      <c r="E43" s="165">
        <v>-310.37401612198539</v>
      </c>
      <c r="F43" s="165"/>
      <c r="G43" s="94">
        <f t="shared" si="2"/>
        <v>-447706.67794323945</v>
      </c>
      <c r="H43" s="91" t="str">
        <f t="shared" si="3"/>
        <v/>
      </c>
      <c r="I43" s="106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9" t="s">
        <v>46</v>
      </c>
      <c r="B44" s="163" t="s">
        <v>7</v>
      </c>
      <c r="C44" s="169"/>
      <c r="D44" s="166"/>
      <c r="E44" s="166"/>
      <c r="F44" s="166"/>
      <c r="G44" s="96">
        <f t="shared" si="2"/>
        <v>0</v>
      </c>
      <c r="H44" s="92" t="str">
        <f t="shared" si="3"/>
        <v/>
      </c>
      <c r="I44" s="93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4" t="s">
        <v>46</v>
      </c>
      <c r="B45" s="107" t="s">
        <v>8</v>
      </c>
      <c r="C45" s="63">
        <f>SUMIFS((C7:C44),(A7:A44),A45)</f>
        <v>643628.63052642532</v>
      </c>
      <c r="D45" s="63">
        <f>SUMIFS((D7:D44),(A7:A44),A45)</f>
        <v>375448.72159044317</v>
      </c>
      <c r="E45" s="63">
        <f>SUMIFS((E7:E44),(A7:A44),A45)</f>
        <v>271503.03465009783</v>
      </c>
      <c r="F45" s="63">
        <f>SUMIFS((F7:F44),(A7:A44),A45)</f>
        <v>281556.82582725439</v>
      </c>
      <c r="G45" s="97">
        <f t="shared" si="2"/>
        <v>268179.90893598215</v>
      </c>
      <c r="H45" s="85" t="str">
        <f t="shared" si="3"/>
        <v>71,4%▲</v>
      </c>
      <c r="I45" s="105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8"/>
      <c r="D46" s="98"/>
      <c r="E46" s="98"/>
      <c r="F46" s="98"/>
      <c r="G46" s="96">
        <f t="shared" si="2"/>
        <v>0</v>
      </c>
      <c r="H46" s="92" t="str">
        <f t="shared" si="3"/>
        <v/>
      </c>
      <c r="I46" s="47"/>
    </row>
    <row r="47" spans="1:15" ht="15" customHeight="1" x14ac:dyDescent="0.25">
      <c r="A47" s="159" t="s">
        <v>25</v>
      </c>
      <c r="B47" s="167" t="s">
        <v>0</v>
      </c>
      <c r="C47" s="168">
        <v>135065.69592662161</v>
      </c>
      <c r="D47" s="165">
        <v>103169.07459463389</v>
      </c>
      <c r="E47" s="165">
        <v>56309.476827381106</v>
      </c>
      <c r="F47" s="165">
        <v>45040.65660080238</v>
      </c>
      <c r="G47" s="94">
        <f t="shared" si="2"/>
        <v>31896.621331987728</v>
      </c>
      <c r="H47" s="91" t="str">
        <f t="shared" si="3"/>
        <v>30,9%▲</v>
      </c>
      <c r="I47" s="106"/>
      <c r="J47" s="154"/>
      <c r="K47" s="154"/>
      <c r="L47" s="154"/>
      <c r="M47" s="154"/>
      <c r="N47" s="154"/>
      <c r="O47" s="154"/>
    </row>
    <row r="48" spans="1:15" ht="15" customHeight="1" x14ac:dyDescent="0.25">
      <c r="A48" s="159" t="s">
        <v>25</v>
      </c>
      <c r="B48" s="163" t="s">
        <v>1</v>
      </c>
      <c r="C48" s="169">
        <v>447182.77989899047</v>
      </c>
      <c r="D48" s="166">
        <v>231461.0955960197</v>
      </c>
      <c r="E48" s="166">
        <v>58336.891263951322</v>
      </c>
      <c r="F48" s="166">
        <v>48611.306903007877</v>
      </c>
      <c r="G48" s="96">
        <f t="shared" si="2"/>
        <v>215721.68430297077</v>
      </c>
      <c r="H48" s="92" t="str">
        <f t="shared" si="3"/>
        <v>93,2%▲</v>
      </c>
      <c r="I48" s="93"/>
      <c r="J48" s="154"/>
      <c r="K48" s="154"/>
      <c r="L48" s="154"/>
      <c r="M48" s="154"/>
      <c r="N48" s="154"/>
      <c r="O48" s="154"/>
    </row>
    <row r="49" spans="1:15" ht="15" customHeight="1" x14ac:dyDescent="0.25">
      <c r="A49" s="159" t="s">
        <v>25</v>
      </c>
      <c r="B49" s="167" t="s">
        <v>2</v>
      </c>
      <c r="C49" s="168">
        <f>9132.48404560307-26579.3260381583</f>
        <v>-17446.84199255523</v>
      </c>
      <c r="D49" s="165">
        <v>-128590.47395421067</v>
      </c>
      <c r="E49" s="165">
        <v>41896.750175405978</v>
      </c>
      <c r="F49" s="165">
        <v>55077.911085834123</v>
      </c>
      <c r="G49" s="94">
        <f t="shared" si="2"/>
        <v>111143.63196165544</v>
      </c>
      <c r="H49" s="91" t="str">
        <f t="shared" si="3"/>
        <v>-86,4%▼</v>
      </c>
      <c r="I49" s="106"/>
      <c r="J49" s="154"/>
      <c r="K49" s="154"/>
      <c r="L49" s="154"/>
      <c r="M49" s="154"/>
      <c r="N49" s="154"/>
      <c r="O49" s="154"/>
    </row>
    <row r="50" spans="1:15" ht="15" customHeight="1" x14ac:dyDescent="0.25">
      <c r="A50" s="159" t="s">
        <v>25</v>
      </c>
      <c r="B50" s="163" t="s">
        <v>3</v>
      </c>
      <c r="C50" s="169">
        <v>12.457177143944005</v>
      </c>
      <c r="D50" s="166">
        <v>27.010915663603843</v>
      </c>
      <c r="E50" s="166">
        <v>24.015884703991372</v>
      </c>
      <c r="F50" s="166">
        <v>6.7429774198181383</v>
      </c>
      <c r="G50" s="96">
        <f t="shared" si="2"/>
        <v>-14.553738519659838</v>
      </c>
      <c r="H50" s="92" t="str">
        <f t="shared" si="3"/>
        <v>-53,9%▼</v>
      </c>
      <c r="I50" s="93"/>
      <c r="J50" s="154"/>
      <c r="K50" s="154"/>
      <c r="L50" s="154"/>
      <c r="M50" s="154"/>
      <c r="N50" s="154"/>
      <c r="O50" s="154"/>
    </row>
    <row r="51" spans="1:15" ht="15" customHeight="1" x14ac:dyDescent="0.25">
      <c r="A51" s="159" t="s">
        <v>25</v>
      </c>
      <c r="B51" s="167" t="s">
        <v>4</v>
      </c>
      <c r="C51" s="168"/>
      <c r="D51" s="165"/>
      <c r="E51" s="165"/>
      <c r="F51" s="165"/>
      <c r="G51" s="94">
        <f t="shared" si="2"/>
        <v>0</v>
      </c>
      <c r="H51" s="91" t="str">
        <f t="shared" si="3"/>
        <v/>
      </c>
      <c r="I51" s="106"/>
      <c r="J51" s="154"/>
      <c r="K51" s="154"/>
      <c r="L51" s="154"/>
      <c r="M51" s="154"/>
      <c r="N51" s="154"/>
      <c r="O51" s="154"/>
    </row>
    <row r="52" spans="1:15" ht="15" customHeight="1" x14ac:dyDescent="0.25">
      <c r="A52" s="159" t="s">
        <v>25</v>
      </c>
      <c r="B52" s="163" t="s">
        <v>5</v>
      </c>
      <c r="C52" s="169">
        <v>-33941.73759354715</v>
      </c>
      <c r="D52" s="166">
        <v>-27656.537574189075</v>
      </c>
      <c r="E52" s="166">
        <v>-29921.072479517228</v>
      </c>
      <c r="F52" s="166">
        <v>-19461.613610044646</v>
      </c>
      <c r="G52" s="96">
        <f t="shared" si="2"/>
        <v>-6285.2000193580752</v>
      </c>
      <c r="H52" s="92" t="str">
        <f t="shared" si="3"/>
        <v>22,7%▲</v>
      </c>
      <c r="I52" s="93"/>
      <c r="J52" s="154"/>
      <c r="K52" s="154"/>
      <c r="L52" s="154"/>
      <c r="M52" s="154"/>
      <c r="N52" s="154"/>
      <c r="O52" s="154"/>
    </row>
    <row r="53" spans="1:15" ht="15" customHeight="1" x14ac:dyDescent="0.25">
      <c r="A53" s="159" t="s">
        <v>25</v>
      </c>
      <c r="B53" s="167" t="s">
        <v>6</v>
      </c>
      <c r="C53" s="168">
        <v>-221627.32356087028</v>
      </c>
      <c r="D53" s="165"/>
      <c r="E53" s="165">
        <v>-153.4130373010702</v>
      </c>
      <c r="F53" s="165"/>
      <c r="G53" s="94">
        <f t="shared" si="2"/>
        <v>-221627.32356087028</v>
      </c>
      <c r="H53" s="91" t="str">
        <f t="shared" si="3"/>
        <v/>
      </c>
      <c r="I53" s="106"/>
      <c r="J53" s="154"/>
      <c r="K53" s="154"/>
      <c r="L53" s="154"/>
      <c r="M53" s="154"/>
      <c r="N53" s="154"/>
      <c r="O53" s="154"/>
    </row>
    <row r="54" spans="1:15" ht="15" customHeight="1" x14ac:dyDescent="0.25">
      <c r="A54" s="159" t="s">
        <v>25</v>
      </c>
      <c r="B54" s="163" t="s">
        <v>7</v>
      </c>
      <c r="C54" s="169"/>
      <c r="D54" s="166"/>
      <c r="E54" s="166"/>
      <c r="F54" s="166"/>
      <c r="G54" s="96">
        <f t="shared" si="2"/>
        <v>0</v>
      </c>
      <c r="H54" s="92" t="str">
        <f t="shared" si="3"/>
        <v/>
      </c>
      <c r="I54" s="93"/>
      <c r="J54" s="154"/>
      <c r="K54" s="154"/>
      <c r="L54" s="154"/>
      <c r="M54" s="154"/>
      <c r="N54" s="154"/>
      <c r="O54" s="154"/>
    </row>
    <row r="55" spans="1:15" s="40" customFormat="1" ht="15" customHeight="1" x14ac:dyDescent="0.25">
      <c r="A55" s="104" t="s">
        <v>25</v>
      </c>
      <c r="B55" s="107" t="s">
        <v>8</v>
      </c>
      <c r="C55" s="63">
        <f>SUMIFS((C7:C54),(A7:A54),A55)</f>
        <v>309245.02985578333</v>
      </c>
      <c r="D55" s="63">
        <f>SUMIFS((D7:D54),(A7:A54),A55)</f>
        <v>178410.16957791746</v>
      </c>
      <c r="E55" s="63">
        <f>SUMIFS((E7:E54),(A7:A54),A55)</f>
        <v>126492.64863462411</v>
      </c>
      <c r="F55" s="63">
        <f>SUMIFS((F7:F54),(A7:A54),A55)</f>
        <v>129275.00395701954</v>
      </c>
      <c r="G55" s="97">
        <f t="shared" si="2"/>
        <v>130834.86027786587</v>
      </c>
      <c r="H55" s="85" t="str">
        <f t="shared" si="3"/>
        <v>73,3%▲</v>
      </c>
      <c r="I55" s="105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8"/>
      <c r="D56" s="98"/>
      <c r="E56" s="98"/>
      <c r="F56" s="98"/>
      <c r="G56" s="96">
        <f t="shared" si="2"/>
        <v>0</v>
      </c>
      <c r="H56" s="92" t="str">
        <f t="shared" si="3"/>
        <v/>
      </c>
      <c r="I56" s="47"/>
    </row>
    <row r="57" spans="1:15" ht="15" customHeight="1" x14ac:dyDescent="0.25">
      <c r="A57" s="159" t="s">
        <v>26</v>
      </c>
      <c r="B57" s="167" t="s">
        <v>0</v>
      </c>
      <c r="C57" s="168">
        <v>22681.594638008264</v>
      </c>
      <c r="D57" s="165">
        <v>17046.764159178318</v>
      </c>
      <c r="E57" s="165">
        <v>10180.731992972569</v>
      </c>
      <c r="F57" s="165">
        <v>8433.7369878894133</v>
      </c>
      <c r="G57" s="94">
        <f t="shared" si="2"/>
        <v>5634.8304788299465</v>
      </c>
      <c r="H57" s="91" t="str">
        <f t="shared" si="3"/>
        <v>33,1%▲</v>
      </c>
      <c r="I57" s="106"/>
      <c r="J57" s="154"/>
      <c r="K57" s="154"/>
      <c r="L57" s="154"/>
      <c r="M57" s="154"/>
      <c r="N57" s="154"/>
      <c r="O57" s="154"/>
    </row>
    <row r="58" spans="1:15" ht="15" customHeight="1" x14ac:dyDescent="0.25">
      <c r="A58" s="159" t="s">
        <v>26</v>
      </c>
      <c r="B58" s="163" t="s">
        <v>1</v>
      </c>
      <c r="C58" s="169">
        <v>73211.318913620446</v>
      </c>
      <c r="D58" s="166">
        <v>36264.691825603419</v>
      </c>
      <c r="E58" s="166">
        <v>10189.752512590961</v>
      </c>
      <c r="F58" s="166">
        <v>8801.2577786841011</v>
      </c>
      <c r="G58" s="96">
        <f t="shared" si="2"/>
        <v>36946.627088017027</v>
      </c>
      <c r="H58" s="92" t="str">
        <f t="shared" si="3"/>
        <v>101,9%▲</v>
      </c>
      <c r="I58" s="93"/>
      <c r="J58" s="154"/>
      <c r="K58" s="154"/>
      <c r="L58" s="154"/>
      <c r="M58" s="154"/>
      <c r="N58" s="154"/>
      <c r="O58" s="154"/>
    </row>
    <row r="59" spans="1:15" ht="15" customHeight="1" x14ac:dyDescent="0.25">
      <c r="A59" s="159" t="s">
        <v>26</v>
      </c>
      <c r="B59" s="167" t="s">
        <v>2</v>
      </c>
      <c r="C59" s="168">
        <f>4084.16266486961-4455.93101135703</f>
        <v>-371.76834648741988</v>
      </c>
      <c r="D59" s="165">
        <v>-19020.984349800703</v>
      </c>
      <c r="E59" s="165">
        <v>7250.6387622370066</v>
      </c>
      <c r="F59" s="165">
        <v>9946.9729206778811</v>
      </c>
      <c r="G59" s="94">
        <f t="shared" si="2"/>
        <v>18649.216003313282</v>
      </c>
      <c r="H59" s="91" t="str">
        <f t="shared" si="3"/>
        <v>-98,0%▼</v>
      </c>
      <c r="I59" s="106"/>
      <c r="J59" s="154"/>
      <c r="K59" s="154"/>
      <c r="L59" s="154"/>
      <c r="M59" s="154"/>
      <c r="N59" s="154"/>
      <c r="O59" s="154"/>
    </row>
    <row r="60" spans="1:15" ht="15" customHeight="1" x14ac:dyDescent="0.25">
      <c r="A60" s="159" t="s">
        <v>26</v>
      </c>
      <c r="B60" s="163" t="s">
        <v>3</v>
      </c>
      <c r="C60" s="169">
        <v>1.932153050199932</v>
      </c>
      <c r="D60" s="166">
        <v>4.1428470909435875</v>
      </c>
      <c r="E60" s="166">
        <v>4.9086316152435305</v>
      </c>
      <c r="F60" s="166">
        <v>1.3972163731652203</v>
      </c>
      <c r="G60" s="96">
        <f t="shared" si="2"/>
        <v>-2.2106940407436557</v>
      </c>
      <c r="H60" s="92" t="str">
        <f t="shared" si="3"/>
        <v>-53,4%▼</v>
      </c>
      <c r="I60" s="93"/>
      <c r="J60" s="154"/>
      <c r="K60" s="154"/>
      <c r="L60" s="154"/>
      <c r="M60" s="154"/>
      <c r="N60" s="154"/>
      <c r="O60" s="154"/>
    </row>
    <row r="61" spans="1:15" ht="15" customHeight="1" x14ac:dyDescent="0.25">
      <c r="A61" s="159" t="s">
        <v>26</v>
      </c>
      <c r="B61" s="167" t="s">
        <v>4</v>
      </c>
      <c r="C61" s="168"/>
      <c r="D61" s="165"/>
      <c r="E61" s="165"/>
      <c r="F61" s="165"/>
      <c r="G61" s="94">
        <f t="shared" si="2"/>
        <v>0</v>
      </c>
      <c r="H61" s="91" t="str">
        <f t="shared" si="3"/>
        <v/>
      </c>
      <c r="I61" s="106"/>
      <c r="J61" s="154"/>
      <c r="K61" s="154"/>
      <c r="L61" s="154"/>
      <c r="M61" s="154"/>
      <c r="N61" s="154"/>
      <c r="O61" s="154"/>
    </row>
    <row r="62" spans="1:15" ht="15" customHeight="1" x14ac:dyDescent="0.25">
      <c r="A62" s="159" t="s">
        <v>26</v>
      </c>
      <c r="B62" s="163" t="s">
        <v>5</v>
      </c>
      <c r="C62" s="169">
        <v>-5620.2462980085966</v>
      </c>
      <c r="D62" s="166">
        <v>-4519.2217982503871</v>
      </c>
      <c r="E62" s="166">
        <v>-5418.0449760535857</v>
      </c>
      <c r="F62" s="166">
        <v>-3680.8126570906834</v>
      </c>
      <c r="G62" s="96">
        <f t="shared" si="2"/>
        <v>-1101.0244997582095</v>
      </c>
      <c r="H62" s="92" t="str">
        <f t="shared" si="3"/>
        <v>24,4%▲</v>
      </c>
      <c r="I62" s="93"/>
      <c r="J62" s="154"/>
      <c r="K62" s="154"/>
      <c r="L62" s="154"/>
      <c r="M62" s="154"/>
      <c r="N62" s="154"/>
      <c r="O62" s="154"/>
    </row>
    <row r="63" spans="1:15" ht="15" customHeight="1" x14ac:dyDescent="0.25">
      <c r="A63" s="159" t="s">
        <v>26</v>
      </c>
      <c r="B63" s="167" t="s">
        <v>6</v>
      </c>
      <c r="C63" s="168">
        <v>-37565.923303801057</v>
      </c>
      <c r="D63" s="165"/>
      <c r="E63" s="165">
        <v>-26.724701433537163</v>
      </c>
      <c r="F63" s="165"/>
      <c r="G63" s="94">
        <f t="shared" si="2"/>
        <v>-37565.923303801057</v>
      </c>
      <c r="H63" s="91" t="str">
        <f t="shared" si="3"/>
        <v/>
      </c>
      <c r="I63" s="106"/>
      <c r="J63" s="154"/>
      <c r="K63" s="154"/>
      <c r="L63" s="154"/>
      <c r="M63" s="154"/>
      <c r="N63" s="154"/>
      <c r="O63" s="154"/>
    </row>
    <row r="64" spans="1:15" ht="15" customHeight="1" x14ac:dyDescent="0.25">
      <c r="A64" s="159" t="s">
        <v>26</v>
      </c>
      <c r="B64" s="163" t="s">
        <v>7</v>
      </c>
      <c r="C64" s="169"/>
      <c r="D64" s="166"/>
      <c r="E64" s="166"/>
      <c r="F64" s="166"/>
      <c r="G64" s="96">
        <f t="shared" si="2"/>
        <v>0</v>
      </c>
      <c r="H64" s="92" t="str">
        <f t="shared" si="3"/>
        <v/>
      </c>
      <c r="I64" s="93"/>
      <c r="J64" s="154"/>
      <c r="K64" s="154"/>
      <c r="L64" s="154"/>
      <c r="M64" s="154"/>
      <c r="N64" s="154"/>
      <c r="O64" s="154"/>
    </row>
    <row r="65" spans="1:15" s="40" customFormat="1" ht="15" customHeight="1" x14ac:dyDescent="0.25">
      <c r="A65" s="104" t="s">
        <v>26</v>
      </c>
      <c r="B65" s="107" t="s">
        <v>8</v>
      </c>
      <c r="C65" s="63">
        <f>SUMIFS((C7:C64),(A7:A64),A65)</f>
        <v>52336.907756381843</v>
      </c>
      <c r="D65" s="63">
        <f>SUMIFS((D7:D64),(A7:A64),A65)</f>
        <v>29775.392683821592</v>
      </c>
      <c r="E65" s="63">
        <f>SUMIFS((E7:E64),(A7:A64),A65)</f>
        <v>22181.262221928657</v>
      </c>
      <c r="F65" s="63">
        <f>SUMIFS((F7:F64),(A7:A64),A65)</f>
        <v>23502.55224653388</v>
      </c>
      <c r="G65" s="97">
        <f t="shared" si="2"/>
        <v>22561.515072560251</v>
      </c>
      <c r="H65" s="85" t="str">
        <f t="shared" si="3"/>
        <v>75,8%▲</v>
      </c>
      <c r="I65" s="105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25" t="s">
        <v>53</v>
      </c>
      <c r="B66" s="49"/>
      <c r="C66" s="98"/>
      <c r="D66" s="98"/>
      <c r="E66" s="98"/>
      <c r="F66" s="98"/>
      <c r="G66" s="96">
        <f t="shared" si="2"/>
        <v>0</v>
      </c>
      <c r="H66" s="92" t="str">
        <f t="shared" si="3"/>
        <v/>
      </c>
      <c r="I66" s="47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59" t="s">
        <v>53</v>
      </c>
      <c r="B67" s="167" t="s">
        <v>0</v>
      </c>
      <c r="C67" s="168">
        <v>6675.8675366025318</v>
      </c>
      <c r="D67" s="165">
        <v>4119.7538395892461</v>
      </c>
      <c r="E67" s="165">
        <v>1764.7893352175302</v>
      </c>
      <c r="F67" s="165">
        <v>959.22466866027366</v>
      </c>
      <c r="G67" s="94">
        <f t="shared" si="2"/>
        <v>2556.1136970132857</v>
      </c>
      <c r="H67" s="91" t="str">
        <f t="shared" si="3"/>
        <v>62,0%▲</v>
      </c>
      <c r="I67" s="106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59" t="s">
        <v>53</v>
      </c>
      <c r="B68" s="163" t="s">
        <v>1</v>
      </c>
      <c r="C68" s="169">
        <v>15256.07722766115</v>
      </c>
      <c r="D68" s="166">
        <v>2897.038378932295</v>
      </c>
      <c r="E68" s="166">
        <v>2277.2005781704247</v>
      </c>
      <c r="F68" s="166">
        <v>1331.2749332107469</v>
      </c>
      <c r="G68" s="96">
        <f t="shared" si="2"/>
        <v>12359.038848728855</v>
      </c>
      <c r="H68" s="92" t="str">
        <f t="shared" si="3"/>
        <v>426,6%▲</v>
      </c>
      <c r="I68" s="93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59" t="s">
        <v>53</v>
      </c>
      <c r="B69" s="167" t="s">
        <v>2</v>
      </c>
      <c r="C69" s="168">
        <f>9719.83596292493-1286.34041792018</f>
        <v>8433.4955450047491</v>
      </c>
      <c r="D69" s="165">
        <v>2000.0503958138941</v>
      </c>
      <c r="E69" s="165">
        <v>1720.1984803558121</v>
      </c>
      <c r="F69" s="165">
        <v>1533.035481629453</v>
      </c>
      <c r="G69" s="94">
        <f t="shared" si="2"/>
        <v>6433.4451491908549</v>
      </c>
      <c r="H69" s="91" t="str">
        <f t="shared" si="3"/>
        <v>321,7%▲</v>
      </c>
      <c r="I69" s="106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59" t="s">
        <v>53</v>
      </c>
      <c r="B70" s="163" t="s">
        <v>3</v>
      </c>
      <c r="C70" s="169">
        <v>3.5085798238774647E-2</v>
      </c>
      <c r="D70" s="166">
        <v>5.2353720748659155E-2</v>
      </c>
      <c r="E70" s="166">
        <v>4.1376305823159695E-2</v>
      </c>
      <c r="F70" s="166">
        <v>1.1257000708557877E-2</v>
      </c>
      <c r="G70" s="96">
        <f t="shared" si="2"/>
        <v>-1.7267922509884508E-2</v>
      </c>
      <c r="H70" s="92" t="str">
        <f t="shared" si="3"/>
        <v>-33,0%▼</v>
      </c>
      <c r="I70" s="93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59" t="s">
        <v>53</v>
      </c>
      <c r="B71" s="167" t="s">
        <v>4</v>
      </c>
      <c r="C71" s="168"/>
      <c r="D71" s="165"/>
      <c r="E71" s="165"/>
      <c r="F71" s="165"/>
      <c r="G71" s="94">
        <f t="shared" ref="G71:G95" si="4">IF(ISERROR(C71- D71)=TRUE,"",C71 - D71)</f>
        <v>0</v>
      </c>
      <c r="H71" s="91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6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59" t="s">
        <v>53</v>
      </c>
      <c r="B72" s="163" t="s">
        <v>5</v>
      </c>
      <c r="C72" s="169">
        <v>-1388.3990413226618</v>
      </c>
      <c r="D72" s="166">
        <v>-942.51464188827742</v>
      </c>
      <c r="E72" s="166">
        <v>-927.29964988953304</v>
      </c>
      <c r="F72" s="166">
        <v>-378.40867345398772</v>
      </c>
      <c r="G72" s="96">
        <f t="shared" si="4"/>
        <v>-445.88439943438436</v>
      </c>
      <c r="H72" s="92" t="str">
        <f t="shared" si="5"/>
        <v>47,3%▲</v>
      </c>
      <c r="I72" s="93"/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59" t="s">
        <v>53</v>
      </c>
      <c r="B73" s="167" t="s">
        <v>6</v>
      </c>
      <c r="C73" s="168">
        <v>-12219.030788394948</v>
      </c>
      <c r="D73" s="165"/>
      <c r="E73" s="165">
        <v>-6.0790230361598736</v>
      </c>
      <c r="F73" s="165"/>
      <c r="G73" s="94">
        <f t="shared" si="4"/>
        <v>-12219.030788394948</v>
      </c>
      <c r="H73" s="91" t="str">
        <f t="shared" si="5"/>
        <v/>
      </c>
      <c r="I73" s="106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59" t="s">
        <v>53</v>
      </c>
      <c r="B74" s="163" t="s">
        <v>7</v>
      </c>
      <c r="C74" s="169"/>
      <c r="D74" s="166"/>
      <c r="E74" s="166"/>
      <c r="F74" s="166"/>
      <c r="G74" s="96">
        <f t="shared" si="4"/>
        <v>0</v>
      </c>
      <c r="H74" s="92" t="str">
        <f t="shared" si="5"/>
        <v/>
      </c>
      <c r="I74" s="93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59" t="s">
        <v>53</v>
      </c>
      <c r="B75" s="107" t="s">
        <v>8</v>
      </c>
      <c r="C75" s="63">
        <f>SUMIFS((C7:C74),(A7:A74),A75)</f>
        <v>16758.045565349057</v>
      </c>
      <c r="D75" s="63">
        <f>SUMIFS((D7:D74),(A7:A74),A75)</f>
        <v>8074.3803261679059</v>
      </c>
      <c r="E75" s="63">
        <f>SUMIFS((E7:E74),(A7:A74),A75)</f>
        <v>4828.8510971238975</v>
      </c>
      <c r="F75" s="63">
        <f>SUMIFS((F7:F74),(A7:A74),A75)</f>
        <v>3445.1376670471946</v>
      </c>
      <c r="G75" s="97">
        <f t="shared" si="4"/>
        <v>8683.6652391811513</v>
      </c>
      <c r="H75" s="85" t="str">
        <f t="shared" si="5"/>
        <v>107,5%▲</v>
      </c>
      <c r="I75" s="105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8"/>
      <c r="D76" s="98"/>
      <c r="E76" s="98"/>
      <c r="F76" s="98"/>
      <c r="G76" s="96">
        <f t="shared" si="4"/>
        <v>0</v>
      </c>
      <c r="H76" s="92" t="str">
        <f t="shared" si="5"/>
        <v/>
      </c>
      <c r="I76" s="47"/>
    </row>
    <row r="77" spans="1:15" ht="15" customHeight="1" x14ac:dyDescent="0.25">
      <c r="A77" s="159" t="s">
        <v>27</v>
      </c>
      <c r="B77" s="167" t="s">
        <v>0</v>
      </c>
      <c r="C77" s="168"/>
      <c r="D77" s="165"/>
      <c r="E77" s="165"/>
      <c r="F77" s="165"/>
      <c r="G77" s="94">
        <f t="shared" si="4"/>
        <v>0</v>
      </c>
      <c r="H77" s="91" t="str">
        <f t="shared" si="5"/>
        <v/>
      </c>
      <c r="I77" s="106"/>
      <c r="J77" s="154"/>
      <c r="K77" s="154"/>
      <c r="L77" s="154"/>
      <c r="M77" s="154"/>
      <c r="N77" s="154"/>
      <c r="O77" s="154"/>
    </row>
    <row r="78" spans="1:15" ht="15" customHeight="1" x14ac:dyDescent="0.25">
      <c r="A78" s="159" t="s">
        <v>27</v>
      </c>
      <c r="B78" s="163" t="s">
        <v>1</v>
      </c>
      <c r="C78" s="169"/>
      <c r="D78" s="166"/>
      <c r="E78" s="166"/>
      <c r="F78" s="166"/>
      <c r="G78" s="96">
        <f t="shared" si="4"/>
        <v>0</v>
      </c>
      <c r="H78" s="92" t="str">
        <f t="shared" si="5"/>
        <v/>
      </c>
      <c r="I78" s="93"/>
      <c r="J78" s="154"/>
      <c r="K78" s="154"/>
      <c r="L78" s="154"/>
      <c r="M78" s="154"/>
      <c r="N78" s="154"/>
      <c r="O78" s="154"/>
    </row>
    <row r="79" spans="1:15" ht="15" customHeight="1" x14ac:dyDescent="0.25">
      <c r="A79" s="159" t="s">
        <v>27</v>
      </c>
      <c r="B79" s="167" t="s">
        <v>2</v>
      </c>
      <c r="C79" s="168"/>
      <c r="D79" s="165"/>
      <c r="E79" s="165"/>
      <c r="F79" s="165"/>
      <c r="G79" s="94">
        <f t="shared" si="4"/>
        <v>0</v>
      </c>
      <c r="H79" s="91" t="str">
        <f t="shared" si="5"/>
        <v/>
      </c>
      <c r="I79" s="106"/>
      <c r="J79" s="154"/>
      <c r="K79" s="154"/>
      <c r="L79" s="154"/>
      <c r="M79" s="154"/>
      <c r="N79" s="154"/>
      <c r="O79" s="154"/>
    </row>
    <row r="80" spans="1:15" ht="15" customHeight="1" x14ac:dyDescent="0.25">
      <c r="A80" s="159" t="s">
        <v>27</v>
      </c>
      <c r="B80" s="163" t="s">
        <v>3</v>
      </c>
      <c r="C80" s="169"/>
      <c r="D80" s="166"/>
      <c r="E80" s="166"/>
      <c r="F80" s="166"/>
      <c r="G80" s="96">
        <f t="shared" si="4"/>
        <v>0</v>
      </c>
      <c r="H80" s="92" t="str">
        <f t="shared" si="5"/>
        <v/>
      </c>
      <c r="I80" s="93"/>
      <c r="J80" s="154"/>
      <c r="K80" s="154"/>
      <c r="L80" s="154"/>
      <c r="M80" s="154"/>
      <c r="N80" s="154"/>
      <c r="O80" s="154"/>
    </row>
    <row r="81" spans="1:15" ht="15" customHeight="1" x14ac:dyDescent="0.25">
      <c r="A81" s="159" t="s">
        <v>27</v>
      </c>
      <c r="B81" s="167" t="s">
        <v>4</v>
      </c>
      <c r="C81" s="168"/>
      <c r="D81" s="165"/>
      <c r="E81" s="165"/>
      <c r="F81" s="165"/>
      <c r="G81" s="94">
        <f t="shared" si="4"/>
        <v>0</v>
      </c>
      <c r="H81" s="91" t="str">
        <f t="shared" si="5"/>
        <v/>
      </c>
      <c r="I81" s="106"/>
      <c r="J81" s="154"/>
      <c r="K81" s="154"/>
      <c r="L81" s="154"/>
      <c r="M81" s="154"/>
      <c r="N81" s="154"/>
      <c r="O81" s="154"/>
    </row>
    <row r="82" spans="1:15" ht="15" customHeight="1" x14ac:dyDescent="0.25">
      <c r="A82" s="159" t="s">
        <v>27</v>
      </c>
      <c r="B82" s="163" t="s">
        <v>5</v>
      </c>
      <c r="C82" s="169"/>
      <c r="D82" s="166"/>
      <c r="E82" s="166"/>
      <c r="F82" s="166"/>
      <c r="G82" s="96">
        <f t="shared" si="4"/>
        <v>0</v>
      </c>
      <c r="H82" s="92" t="str">
        <f t="shared" si="5"/>
        <v/>
      </c>
      <c r="I82" s="93"/>
      <c r="J82" s="154"/>
      <c r="K82" s="154"/>
      <c r="L82" s="154"/>
      <c r="M82" s="154"/>
      <c r="N82" s="154"/>
      <c r="O82" s="154"/>
    </row>
    <row r="83" spans="1:15" ht="15" customHeight="1" x14ac:dyDescent="0.25">
      <c r="A83" s="159" t="s">
        <v>27</v>
      </c>
      <c r="B83" s="167" t="s">
        <v>6</v>
      </c>
      <c r="C83" s="168"/>
      <c r="D83" s="165"/>
      <c r="E83" s="165"/>
      <c r="F83" s="165"/>
      <c r="G83" s="94">
        <f t="shared" si="4"/>
        <v>0</v>
      </c>
      <c r="H83" s="91" t="str">
        <f t="shared" si="5"/>
        <v/>
      </c>
      <c r="I83" s="106"/>
      <c r="J83" s="154"/>
      <c r="K83" s="154"/>
      <c r="L83" s="154"/>
      <c r="M83" s="154"/>
      <c r="N83" s="154"/>
      <c r="O83" s="154"/>
    </row>
    <row r="84" spans="1:15" ht="15" customHeight="1" x14ac:dyDescent="0.25">
      <c r="A84" s="159" t="s">
        <v>27</v>
      </c>
      <c r="B84" s="163" t="s">
        <v>7</v>
      </c>
      <c r="C84" s="169"/>
      <c r="D84" s="166"/>
      <c r="E84" s="166"/>
      <c r="F84" s="166"/>
      <c r="G84" s="96">
        <f t="shared" si="4"/>
        <v>0</v>
      </c>
      <c r="H84" s="92" t="str">
        <f t="shared" si="5"/>
        <v/>
      </c>
      <c r="I84" s="93"/>
      <c r="J84" s="154"/>
      <c r="K84" s="154"/>
      <c r="L84" s="154"/>
      <c r="M84" s="154"/>
      <c r="N84" s="154"/>
      <c r="O84" s="154"/>
    </row>
    <row r="85" spans="1:15" s="40" customFormat="1" ht="15" customHeight="1" x14ac:dyDescent="0.25">
      <c r="A85" s="104" t="s">
        <v>27</v>
      </c>
      <c r="B85" s="107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7">
        <f t="shared" si="4"/>
        <v>0</v>
      </c>
      <c r="H85" s="85" t="str">
        <f t="shared" si="5"/>
        <v/>
      </c>
      <c r="I85" s="105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8"/>
      <c r="D86" s="98"/>
      <c r="E86" s="98"/>
      <c r="F86" s="98"/>
      <c r="G86" s="96">
        <f t="shared" si="4"/>
        <v>0</v>
      </c>
      <c r="H86" s="92" t="str">
        <f t="shared" si="5"/>
        <v/>
      </c>
      <c r="I86" s="47"/>
    </row>
    <row r="87" spans="1:15" ht="15" customHeight="1" x14ac:dyDescent="0.25">
      <c r="A87" s="159" t="s">
        <v>28</v>
      </c>
      <c r="B87" s="167" t="s">
        <v>0</v>
      </c>
      <c r="C87" s="168">
        <v>550866.68668081157</v>
      </c>
      <c r="D87" s="165">
        <v>527695.43953451409</v>
      </c>
      <c r="E87" s="165">
        <v>330204.414089547</v>
      </c>
      <c r="F87" s="165">
        <v>310053.59806963371</v>
      </c>
      <c r="G87" s="94">
        <f t="shared" si="4"/>
        <v>23171.247146297479</v>
      </c>
      <c r="H87" s="91" t="str">
        <f t="shared" si="5"/>
        <v>4,4%</v>
      </c>
      <c r="I87" s="106"/>
      <c r="J87" s="154"/>
      <c r="K87" s="154"/>
      <c r="L87" s="154"/>
      <c r="M87" s="154"/>
      <c r="N87" s="154"/>
      <c r="O87" s="154"/>
    </row>
    <row r="88" spans="1:15" ht="15" customHeight="1" x14ac:dyDescent="0.25">
      <c r="A88" s="159" t="s">
        <v>28</v>
      </c>
      <c r="B88" s="163" t="s">
        <v>1</v>
      </c>
      <c r="C88" s="169">
        <v>65522.055140256467</v>
      </c>
      <c r="D88" s="166">
        <v>29343.520642008727</v>
      </c>
      <c r="E88" s="166">
        <v>48290.140983917168</v>
      </c>
      <c r="F88" s="166">
        <v>47667.698827294815</v>
      </c>
      <c r="G88" s="96">
        <f t="shared" si="4"/>
        <v>36178.53449824774</v>
      </c>
      <c r="H88" s="92" t="str">
        <f t="shared" si="5"/>
        <v>123,3%▲</v>
      </c>
      <c r="I88" s="93"/>
      <c r="J88" s="154"/>
      <c r="K88" s="154"/>
      <c r="L88" s="154"/>
      <c r="M88" s="154"/>
      <c r="N88" s="154"/>
      <c r="O88" s="154"/>
    </row>
    <row r="89" spans="1:15" ht="15" customHeight="1" x14ac:dyDescent="0.25">
      <c r="A89" s="159" t="s">
        <v>28</v>
      </c>
      <c r="B89" s="167" t="s">
        <v>2</v>
      </c>
      <c r="C89" s="168">
        <v>2429116.6368539766</v>
      </c>
      <c r="D89" s="165">
        <v>2532181.3591097863</v>
      </c>
      <c r="E89" s="165">
        <v>2400790.9308587923</v>
      </c>
      <c r="F89" s="165">
        <v>2421391.0530585106</v>
      </c>
      <c r="G89" s="94">
        <f t="shared" si="4"/>
        <v>-103064.7222558097</v>
      </c>
      <c r="H89" s="91" t="str">
        <f t="shared" si="5"/>
        <v>-4,1%</v>
      </c>
      <c r="I89" s="106"/>
      <c r="J89" s="154"/>
      <c r="K89" s="154"/>
      <c r="L89" s="154"/>
      <c r="M89" s="154"/>
      <c r="N89" s="154"/>
      <c r="O89" s="154"/>
    </row>
    <row r="90" spans="1:15" ht="15" customHeight="1" x14ac:dyDescent="0.25">
      <c r="A90" s="159" t="s">
        <v>28</v>
      </c>
      <c r="B90" s="163" t="s">
        <v>3</v>
      </c>
      <c r="C90" s="169">
        <v>210513.16679750578</v>
      </c>
      <c r="D90" s="166">
        <v>173398.98313845339</v>
      </c>
      <c r="E90" s="166">
        <v>200017.11525036872</v>
      </c>
      <c r="F90" s="166">
        <v>179879.68403954527</v>
      </c>
      <c r="G90" s="96">
        <f t="shared" si="4"/>
        <v>37114.183659052389</v>
      </c>
      <c r="H90" s="92" t="str">
        <f t="shared" si="5"/>
        <v>21,4%▲</v>
      </c>
      <c r="I90" s="93"/>
      <c r="J90" s="154"/>
      <c r="K90" s="154"/>
      <c r="L90" s="154"/>
      <c r="M90" s="154"/>
      <c r="N90" s="154"/>
      <c r="O90" s="154"/>
    </row>
    <row r="91" spans="1:15" ht="15" customHeight="1" x14ac:dyDescent="0.25">
      <c r="A91" s="159" t="s">
        <v>28</v>
      </c>
      <c r="B91" s="167" t="s">
        <v>4</v>
      </c>
      <c r="C91" s="168"/>
      <c r="D91" s="165"/>
      <c r="E91" s="165"/>
      <c r="F91" s="165"/>
      <c r="G91" s="94">
        <f t="shared" si="4"/>
        <v>0</v>
      </c>
      <c r="H91" s="91" t="str">
        <f t="shared" si="5"/>
        <v/>
      </c>
      <c r="I91" s="106"/>
      <c r="J91" s="154"/>
      <c r="K91" s="154"/>
      <c r="L91" s="154"/>
      <c r="M91" s="154"/>
      <c r="N91" s="154"/>
      <c r="O91" s="154"/>
    </row>
    <row r="92" spans="1:15" ht="15" customHeight="1" x14ac:dyDescent="0.25">
      <c r="A92" s="159" t="s">
        <v>28</v>
      </c>
      <c r="B92" s="163" t="s">
        <v>5</v>
      </c>
      <c r="C92" s="169">
        <v>-185033.35514255075</v>
      </c>
      <c r="D92" s="166">
        <v>-134069.16743476238</v>
      </c>
      <c r="E92" s="166">
        <v>-151811.66689262594</v>
      </c>
      <c r="F92" s="166">
        <v>-171013.8612149845</v>
      </c>
      <c r="G92" s="96">
        <f t="shared" si="4"/>
        <v>-50964.187707788369</v>
      </c>
      <c r="H92" s="92" t="str">
        <f t="shared" si="5"/>
        <v>38,0%▲</v>
      </c>
      <c r="I92" s="93"/>
      <c r="J92" s="154"/>
      <c r="K92" s="154"/>
      <c r="L92" s="154"/>
      <c r="M92" s="154"/>
      <c r="N92" s="154"/>
      <c r="O92" s="154"/>
    </row>
    <row r="93" spans="1:15" ht="15" customHeight="1" x14ac:dyDescent="0.25">
      <c r="A93" s="159" t="s">
        <v>28</v>
      </c>
      <c r="B93" s="167" t="s">
        <v>6</v>
      </c>
      <c r="C93" s="168"/>
      <c r="D93" s="165"/>
      <c r="E93" s="165"/>
      <c r="F93" s="165"/>
      <c r="G93" s="94">
        <f t="shared" si="4"/>
        <v>0</v>
      </c>
      <c r="H93" s="91" t="str">
        <f t="shared" si="5"/>
        <v/>
      </c>
      <c r="I93" s="106"/>
      <c r="J93" s="154"/>
      <c r="K93" s="154"/>
      <c r="L93" s="154"/>
      <c r="M93" s="154"/>
      <c r="N93" s="154"/>
      <c r="O93" s="154"/>
    </row>
    <row r="94" spans="1:15" ht="15" customHeight="1" x14ac:dyDescent="0.25">
      <c r="A94" s="159" t="s">
        <v>28</v>
      </c>
      <c r="B94" s="163" t="s">
        <v>7</v>
      </c>
      <c r="C94" s="169"/>
      <c r="D94" s="166"/>
      <c r="E94" s="166"/>
      <c r="F94" s="166"/>
      <c r="G94" s="96">
        <f t="shared" si="4"/>
        <v>0</v>
      </c>
      <c r="H94" s="92" t="str">
        <f t="shared" si="5"/>
        <v/>
      </c>
      <c r="I94" s="93"/>
      <c r="J94" s="154"/>
      <c r="K94" s="154"/>
      <c r="L94" s="154"/>
      <c r="M94" s="154"/>
      <c r="N94" s="154"/>
      <c r="O94" s="154"/>
    </row>
    <row r="95" spans="1:15" s="40" customFormat="1" ht="15" customHeight="1" x14ac:dyDescent="0.25">
      <c r="A95" s="104" t="s">
        <v>28</v>
      </c>
      <c r="B95" s="107" t="s">
        <v>8</v>
      </c>
      <c r="C95" s="63">
        <f>SUMIFS((C7:C94),(A7:A94),A95)</f>
        <v>3070985.1903299997</v>
      </c>
      <c r="D95" s="63">
        <f>SUMIFS((D7:D94),(A7:A94),A95)</f>
        <v>3128550.1349900002</v>
      </c>
      <c r="E95" s="63">
        <f>SUMIFS((E7:E94),(A7:A94),A95)</f>
        <v>2827490.9342899993</v>
      </c>
      <c r="F95" s="63">
        <f>SUMIFS((F7:F94),(A7:A94),A95)</f>
        <v>2787978.1727799997</v>
      </c>
      <c r="G95" s="97">
        <f t="shared" si="4"/>
        <v>-57564.944660000503</v>
      </c>
      <c r="H95" s="85" t="str">
        <f t="shared" si="5"/>
        <v>-1,8%</v>
      </c>
      <c r="I95" s="105"/>
      <c r="J95" s="39"/>
      <c r="K95" s="39"/>
      <c r="L95" s="39"/>
      <c r="M95" s="39"/>
      <c r="N95" s="39"/>
      <c r="O95" s="39"/>
    </row>
    <row r="96" spans="1:15" ht="15" customHeight="1" x14ac:dyDescent="0.25">
      <c r="C96" s="160"/>
      <c r="D96" s="160"/>
      <c r="E96" s="160"/>
      <c r="F96" s="160"/>
    </row>
    <row r="97" spans="3:6" ht="15" customHeight="1" x14ac:dyDescent="0.25">
      <c r="C97" s="160"/>
      <c r="D97" s="160"/>
      <c r="E97" s="160"/>
      <c r="F97" s="160"/>
    </row>
    <row r="98" spans="3:6" ht="15" customHeight="1" x14ac:dyDescent="0.25">
      <c r="C98" s="160"/>
      <c r="D98" s="160"/>
      <c r="E98" s="160"/>
      <c r="F98" s="160"/>
    </row>
    <row r="99" spans="3:6" ht="15" customHeight="1" x14ac:dyDescent="0.25">
      <c r="C99" s="160"/>
      <c r="D99" s="160"/>
      <c r="E99" s="160"/>
      <c r="F99" s="160"/>
    </row>
    <row r="100" spans="3:6" ht="15" customHeight="1" x14ac:dyDescent="0.25">
      <c r="C100" s="160"/>
      <c r="D100" s="160"/>
      <c r="E100" s="160"/>
      <c r="F100" s="160"/>
    </row>
    <row r="101" spans="3:6" ht="15" customHeight="1" x14ac:dyDescent="0.25">
      <c r="C101" s="160"/>
      <c r="D101" s="160"/>
      <c r="E101" s="160"/>
      <c r="F101" s="160"/>
    </row>
    <row r="102" spans="3:6" ht="15" customHeight="1" x14ac:dyDescent="0.25">
      <c r="C102" s="160"/>
      <c r="D102" s="160"/>
      <c r="E102" s="160"/>
      <c r="F102" s="160"/>
    </row>
    <row r="103" spans="3:6" ht="15" customHeight="1" x14ac:dyDescent="0.25">
      <c r="C103" s="160"/>
      <c r="D103" s="160"/>
      <c r="E103" s="160"/>
      <c r="F103" s="160"/>
    </row>
    <row r="104" spans="3:6" ht="15" customHeight="1" x14ac:dyDescent="0.25">
      <c r="C104" s="160"/>
      <c r="D104" s="160"/>
      <c r="E104" s="160"/>
      <c r="F104" s="160"/>
    </row>
    <row r="105" spans="3:6" ht="15" customHeight="1" x14ac:dyDescent="0.25">
      <c r="C105" s="160"/>
      <c r="D105" s="160"/>
      <c r="E105" s="160"/>
      <c r="F105" s="160"/>
    </row>
    <row r="106" spans="3:6" ht="15" customHeight="1" x14ac:dyDescent="0.25">
      <c r="C106" s="160"/>
      <c r="D106" s="160"/>
      <c r="E106" s="160"/>
      <c r="F106" s="160"/>
    </row>
    <row r="107" spans="3:6" ht="15" customHeight="1" x14ac:dyDescent="0.25">
      <c r="C107" s="160"/>
      <c r="D107" s="160"/>
      <c r="E107" s="160"/>
      <c r="F107" s="160"/>
    </row>
    <row r="108" spans="3:6" ht="15" customHeight="1" x14ac:dyDescent="0.25">
      <c r="C108" s="160"/>
      <c r="D108" s="160"/>
      <c r="E108" s="160"/>
      <c r="F108" s="160"/>
    </row>
    <row r="109" spans="3:6" ht="15" customHeight="1" x14ac:dyDescent="0.25">
      <c r="C109" s="160"/>
      <c r="D109" s="160"/>
      <c r="E109" s="160"/>
      <c r="F109" s="160"/>
    </row>
    <row r="110" spans="3:6" ht="15" customHeight="1" x14ac:dyDescent="0.25">
      <c r="C110" s="160"/>
      <c r="D110" s="160"/>
      <c r="E110" s="160"/>
      <c r="F110" s="160"/>
    </row>
    <row r="111" spans="3:6" ht="15" customHeight="1" x14ac:dyDescent="0.25">
      <c r="C111" s="160"/>
      <c r="D111" s="160"/>
      <c r="E111" s="160"/>
      <c r="F111" s="160"/>
    </row>
    <row r="112" spans="3:6" ht="15" customHeight="1" x14ac:dyDescent="0.25">
      <c r="C112" s="160"/>
      <c r="D112" s="160"/>
      <c r="E112" s="160"/>
      <c r="F112" s="160"/>
    </row>
    <row r="113" spans="3:6" ht="15" customHeight="1" x14ac:dyDescent="0.25">
      <c r="C113" s="160"/>
      <c r="D113" s="160"/>
      <c r="E113" s="160"/>
      <c r="F113" s="160"/>
    </row>
    <row r="114" spans="3:6" ht="15" customHeight="1" x14ac:dyDescent="0.25">
      <c r="C114" s="160"/>
      <c r="D114" s="160"/>
      <c r="E114" s="160"/>
      <c r="F114" s="160"/>
    </row>
    <row r="115" spans="3:6" ht="15" customHeight="1" x14ac:dyDescent="0.25">
      <c r="C115" s="160"/>
      <c r="D115" s="160"/>
      <c r="E115" s="160"/>
      <c r="F115" s="160"/>
    </row>
    <row r="116" spans="3:6" ht="15" customHeight="1" x14ac:dyDescent="0.25">
      <c r="C116" s="160"/>
      <c r="D116" s="160"/>
      <c r="E116" s="160"/>
      <c r="F116" s="160"/>
    </row>
    <row r="117" spans="3:6" ht="15" customHeight="1" x14ac:dyDescent="0.25">
      <c r="C117" s="160"/>
      <c r="D117" s="160"/>
      <c r="E117" s="160"/>
      <c r="F117" s="160"/>
    </row>
    <row r="118" spans="3:6" ht="15" customHeight="1" x14ac:dyDescent="0.25">
      <c r="C118" s="160"/>
      <c r="D118" s="160"/>
      <c r="E118" s="160"/>
      <c r="F118" s="160"/>
    </row>
    <row r="119" spans="3:6" ht="15" customHeight="1" x14ac:dyDescent="0.25">
      <c r="C119" s="160"/>
      <c r="D119" s="160"/>
      <c r="E119" s="160"/>
      <c r="F119" s="160"/>
    </row>
    <row r="120" spans="3:6" ht="15" customHeight="1" x14ac:dyDescent="0.25">
      <c r="C120" s="160"/>
      <c r="D120" s="160"/>
      <c r="E120" s="160"/>
      <c r="F120" s="160"/>
    </row>
    <row r="121" spans="3:6" ht="15" customHeight="1" x14ac:dyDescent="0.25">
      <c r="C121" s="160"/>
      <c r="D121" s="160"/>
      <c r="E121" s="160"/>
      <c r="F121" s="160"/>
    </row>
    <row r="122" spans="3:6" ht="15" customHeight="1" x14ac:dyDescent="0.25">
      <c r="C122" s="160"/>
      <c r="D122" s="160"/>
      <c r="E122" s="160"/>
      <c r="F122" s="160"/>
    </row>
    <row r="123" spans="3:6" ht="15" customHeight="1" x14ac:dyDescent="0.25">
      <c r="C123" s="160"/>
      <c r="D123" s="160"/>
      <c r="E123" s="160"/>
      <c r="F123" s="160"/>
    </row>
    <row r="124" spans="3:6" ht="15" customHeight="1" x14ac:dyDescent="0.25">
      <c r="C124" s="160"/>
      <c r="D124" s="160"/>
      <c r="E124" s="160"/>
      <c r="F124" s="160"/>
    </row>
    <row r="125" spans="3:6" ht="15" customHeight="1" x14ac:dyDescent="0.25">
      <c r="C125" s="160"/>
      <c r="D125" s="160"/>
      <c r="E125" s="160"/>
      <c r="F125" s="160"/>
    </row>
    <row r="126" spans="3:6" ht="15" customHeight="1" x14ac:dyDescent="0.25">
      <c r="C126" s="160"/>
      <c r="D126" s="160"/>
      <c r="E126" s="160"/>
      <c r="F126" s="160"/>
    </row>
    <row r="127" spans="3:6" ht="15" customHeight="1" x14ac:dyDescent="0.25">
      <c r="C127" s="160"/>
      <c r="D127" s="160"/>
      <c r="E127" s="160"/>
      <c r="F127" s="160"/>
    </row>
    <row r="128" spans="3:6" ht="15" customHeight="1" x14ac:dyDescent="0.25">
      <c r="C128" s="160"/>
      <c r="D128" s="160"/>
      <c r="E128" s="160"/>
      <c r="F128" s="160"/>
    </row>
    <row r="129" spans="3:6" ht="15" customHeight="1" x14ac:dyDescent="0.25">
      <c r="C129" s="160"/>
      <c r="D129" s="160"/>
      <c r="E129" s="160"/>
      <c r="F129" s="160"/>
    </row>
    <row r="130" spans="3:6" ht="15" customHeight="1" x14ac:dyDescent="0.25">
      <c r="C130" s="160"/>
      <c r="D130" s="160"/>
      <c r="E130" s="160"/>
      <c r="F130" s="160"/>
    </row>
    <row r="131" spans="3:6" ht="15" customHeight="1" x14ac:dyDescent="0.25">
      <c r="C131" s="160"/>
      <c r="D131" s="160"/>
      <c r="E131" s="160"/>
      <c r="F131" s="160"/>
    </row>
    <row r="132" spans="3:6" ht="15" customHeight="1" x14ac:dyDescent="0.25">
      <c r="C132" s="160"/>
      <c r="D132" s="160"/>
      <c r="E132" s="160"/>
      <c r="F132" s="160"/>
    </row>
    <row r="133" spans="3:6" ht="15" customHeight="1" x14ac:dyDescent="0.25">
      <c r="C133" s="160"/>
      <c r="D133" s="160"/>
      <c r="E133" s="160"/>
      <c r="F133" s="160"/>
    </row>
    <row r="134" spans="3:6" ht="15" customHeight="1" x14ac:dyDescent="0.25">
      <c r="C134" s="160"/>
      <c r="D134" s="160"/>
      <c r="E134" s="160"/>
      <c r="F134" s="160"/>
    </row>
    <row r="135" spans="3:6" ht="15" customHeight="1" x14ac:dyDescent="0.25">
      <c r="C135" s="160"/>
      <c r="D135" s="160"/>
      <c r="E135" s="160"/>
      <c r="F135" s="160"/>
    </row>
    <row r="136" spans="3:6" ht="15" customHeight="1" x14ac:dyDescent="0.25">
      <c r="C136" s="160"/>
      <c r="D136" s="160"/>
      <c r="E136" s="160"/>
      <c r="F136" s="160"/>
    </row>
    <row r="137" spans="3:6" ht="15" customHeight="1" x14ac:dyDescent="0.25">
      <c r="C137" s="160"/>
      <c r="D137" s="160"/>
      <c r="E137" s="160"/>
      <c r="F137" s="160"/>
    </row>
    <row r="138" spans="3:6" ht="15" customHeight="1" x14ac:dyDescent="0.25">
      <c r="C138" s="160"/>
      <c r="D138" s="160"/>
      <c r="E138" s="160"/>
      <c r="F138" s="160"/>
    </row>
    <row r="139" spans="3:6" ht="15" customHeight="1" x14ac:dyDescent="0.25">
      <c r="C139" s="160"/>
      <c r="D139" s="160"/>
      <c r="E139" s="160"/>
      <c r="F139" s="160"/>
    </row>
    <row r="140" spans="3:6" ht="15" customHeight="1" x14ac:dyDescent="0.25">
      <c r="C140" s="160"/>
      <c r="D140" s="160"/>
      <c r="E140" s="160"/>
      <c r="F140" s="160"/>
    </row>
    <row r="141" spans="3:6" ht="15" customHeight="1" x14ac:dyDescent="0.25">
      <c r="C141" s="160"/>
      <c r="D141" s="160"/>
      <c r="E141" s="160"/>
      <c r="F141" s="160"/>
    </row>
    <row r="142" spans="3:6" ht="15" customHeight="1" x14ac:dyDescent="0.25">
      <c r="C142" s="160"/>
      <c r="D142" s="160"/>
      <c r="E142" s="160"/>
      <c r="F142" s="160"/>
    </row>
    <row r="143" spans="3:6" ht="15" customHeight="1" x14ac:dyDescent="0.25">
      <c r="C143" s="160"/>
      <c r="D143" s="160"/>
      <c r="E143" s="160"/>
      <c r="F143" s="160"/>
    </row>
    <row r="144" spans="3:6" ht="15" customHeight="1" x14ac:dyDescent="0.25">
      <c r="C144" s="160"/>
      <c r="D144" s="160"/>
      <c r="E144" s="160"/>
      <c r="F144" s="160"/>
    </row>
    <row r="145" spans="3:6" ht="15" customHeight="1" x14ac:dyDescent="0.25">
      <c r="C145" s="160"/>
      <c r="D145" s="160"/>
      <c r="E145" s="160"/>
      <c r="F145" s="160"/>
    </row>
    <row r="146" spans="3:6" ht="15" customHeight="1" x14ac:dyDescent="0.25">
      <c r="C146" s="160"/>
      <c r="D146" s="160"/>
      <c r="E146" s="160"/>
      <c r="F146" s="160"/>
    </row>
    <row r="147" spans="3:6" ht="15" customHeight="1" x14ac:dyDescent="0.25">
      <c r="C147" s="160"/>
      <c r="D147" s="160"/>
      <c r="E147" s="160"/>
      <c r="F147" s="160"/>
    </row>
    <row r="148" spans="3:6" ht="15" customHeight="1" x14ac:dyDescent="0.25">
      <c r="C148" s="160"/>
      <c r="D148" s="160"/>
      <c r="E148" s="160"/>
      <c r="F148" s="160"/>
    </row>
    <row r="149" spans="3:6" ht="15" customHeight="1" x14ac:dyDescent="0.25">
      <c r="C149" s="160"/>
      <c r="D149" s="160"/>
      <c r="E149" s="160"/>
      <c r="F149" s="160"/>
    </row>
    <row r="150" spans="3:6" ht="15" customHeight="1" x14ac:dyDescent="0.25">
      <c r="C150" s="160"/>
      <c r="D150" s="160"/>
      <c r="E150" s="160"/>
      <c r="F150" s="160"/>
    </row>
    <row r="151" spans="3:6" ht="15" customHeight="1" x14ac:dyDescent="0.25">
      <c r="C151" s="160"/>
      <c r="D151" s="160"/>
      <c r="E151" s="160"/>
      <c r="F151" s="160"/>
    </row>
    <row r="152" spans="3:6" ht="15" customHeight="1" x14ac:dyDescent="0.25">
      <c r="C152" s="160"/>
      <c r="D152" s="160"/>
      <c r="E152" s="160"/>
      <c r="F152" s="160"/>
    </row>
    <row r="153" spans="3:6" ht="15" customHeight="1" x14ac:dyDescent="0.25">
      <c r="C153" s="160"/>
      <c r="D153" s="160"/>
      <c r="E153" s="160"/>
      <c r="F153" s="160"/>
    </row>
    <row r="154" spans="3:6" ht="15" customHeight="1" x14ac:dyDescent="0.25">
      <c r="C154" s="160"/>
      <c r="D154" s="160"/>
      <c r="E154" s="160"/>
      <c r="F154" s="160"/>
    </row>
    <row r="155" spans="3:6" ht="15" customHeight="1" x14ac:dyDescent="0.25">
      <c r="C155" s="160"/>
      <c r="D155" s="160"/>
      <c r="E155" s="160"/>
      <c r="F155" s="160"/>
    </row>
    <row r="156" spans="3:6" ht="15" customHeight="1" x14ac:dyDescent="0.25">
      <c r="C156" s="160"/>
      <c r="D156" s="160"/>
      <c r="E156" s="160"/>
      <c r="F156" s="160"/>
    </row>
    <row r="157" spans="3:6" ht="15" customHeight="1" x14ac:dyDescent="0.25">
      <c r="C157" s="160"/>
      <c r="D157" s="160"/>
      <c r="E157" s="160"/>
      <c r="F157" s="160"/>
    </row>
    <row r="158" spans="3:6" ht="15" customHeight="1" x14ac:dyDescent="0.25">
      <c r="C158" s="160"/>
      <c r="D158" s="160"/>
      <c r="E158" s="160"/>
      <c r="F158" s="160"/>
    </row>
    <row r="159" spans="3:6" ht="15" customHeight="1" x14ac:dyDescent="0.25">
      <c r="C159" s="160"/>
      <c r="D159" s="160"/>
      <c r="E159" s="160"/>
      <c r="F159" s="160"/>
    </row>
    <row r="160" spans="3:6" ht="15" customHeight="1" x14ac:dyDescent="0.25">
      <c r="C160" s="160"/>
      <c r="D160" s="160"/>
      <c r="E160" s="160"/>
      <c r="F160" s="160"/>
    </row>
    <row r="161" spans="3:6" ht="15" customHeight="1" x14ac:dyDescent="0.25">
      <c r="C161" s="160"/>
      <c r="D161" s="160"/>
      <c r="E161" s="160"/>
      <c r="F161" s="160"/>
    </row>
    <row r="162" spans="3:6" ht="15" customHeight="1" x14ac:dyDescent="0.25">
      <c r="C162" s="160"/>
      <c r="D162" s="160"/>
      <c r="E162" s="160"/>
      <c r="F162" s="160"/>
    </row>
    <row r="163" spans="3:6" ht="15" customHeight="1" x14ac:dyDescent="0.25">
      <c r="C163" s="160"/>
      <c r="D163" s="160"/>
      <c r="E163" s="160"/>
      <c r="F163" s="160"/>
    </row>
    <row r="164" spans="3:6" ht="15" customHeight="1" x14ac:dyDescent="0.25">
      <c r="C164" s="160"/>
      <c r="D164" s="160"/>
      <c r="E164" s="160"/>
      <c r="F164" s="160"/>
    </row>
    <row r="165" spans="3:6" ht="15" customHeight="1" x14ac:dyDescent="0.25">
      <c r="C165" s="160"/>
      <c r="D165" s="160"/>
      <c r="E165" s="160"/>
      <c r="F165" s="160"/>
    </row>
    <row r="166" spans="3:6" ht="15" customHeight="1" x14ac:dyDescent="0.25">
      <c r="C166" s="160"/>
      <c r="D166" s="160"/>
      <c r="E166" s="160"/>
      <c r="F166" s="160"/>
    </row>
    <row r="167" spans="3:6" ht="15" customHeight="1" x14ac:dyDescent="0.25">
      <c r="C167" s="160"/>
      <c r="D167" s="160"/>
      <c r="E167" s="160"/>
      <c r="F167" s="160"/>
    </row>
    <row r="168" spans="3:6" ht="15" customHeight="1" x14ac:dyDescent="0.25">
      <c r="C168" s="160"/>
      <c r="D168" s="160"/>
      <c r="E168" s="160"/>
      <c r="F168" s="160"/>
    </row>
    <row r="169" spans="3:6" ht="15" customHeight="1" x14ac:dyDescent="0.25">
      <c r="C169" s="160"/>
      <c r="D169" s="160"/>
      <c r="E169" s="160"/>
      <c r="F169" s="160"/>
    </row>
    <row r="170" spans="3:6" ht="15" customHeight="1" x14ac:dyDescent="0.25">
      <c r="C170" s="160"/>
      <c r="D170" s="160"/>
      <c r="E170" s="160"/>
      <c r="F170" s="160"/>
    </row>
    <row r="171" spans="3:6" ht="15" customHeight="1" x14ac:dyDescent="0.25">
      <c r="C171" s="160"/>
      <c r="D171" s="160"/>
      <c r="E171" s="160"/>
      <c r="F171" s="160"/>
    </row>
    <row r="172" spans="3:6" ht="15" customHeight="1" x14ac:dyDescent="0.25">
      <c r="C172" s="160"/>
      <c r="D172" s="160"/>
      <c r="E172" s="160"/>
      <c r="F172" s="160"/>
    </row>
    <row r="173" spans="3:6" ht="15" customHeight="1" x14ac:dyDescent="0.25">
      <c r="C173" s="160"/>
      <c r="D173" s="160"/>
      <c r="E173" s="160"/>
      <c r="F173" s="160"/>
    </row>
    <row r="174" spans="3:6" ht="15" customHeight="1" x14ac:dyDescent="0.25">
      <c r="C174" s="160"/>
      <c r="D174" s="160"/>
      <c r="E174" s="160"/>
      <c r="F174" s="160"/>
    </row>
    <row r="175" spans="3:6" ht="15" customHeight="1" x14ac:dyDescent="0.25">
      <c r="C175" s="160"/>
      <c r="D175" s="160"/>
      <c r="E175" s="160"/>
      <c r="F175" s="160"/>
    </row>
    <row r="176" spans="3:6" ht="15" customHeight="1" x14ac:dyDescent="0.25">
      <c r="C176" s="160"/>
      <c r="D176" s="160"/>
      <c r="E176" s="160"/>
      <c r="F176" s="160"/>
    </row>
    <row r="177" spans="3:6" ht="15" customHeight="1" x14ac:dyDescent="0.25">
      <c r="C177" s="160"/>
      <c r="D177" s="160"/>
      <c r="E177" s="160"/>
      <c r="F177" s="160"/>
    </row>
    <row r="178" spans="3:6" ht="15" customHeight="1" x14ac:dyDescent="0.25">
      <c r="C178" s="160"/>
      <c r="D178" s="160"/>
      <c r="E178" s="160"/>
      <c r="F178" s="160"/>
    </row>
    <row r="179" spans="3:6" ht="15" customHeight="1" x14ac:dyDescent="0.25">
      <c r="C179" s="160"/>
      <c r="D179" s="160"/>
      <c r="E179" s="160"/>
      <c r="F179" s="160"/>
    </row>
    <row r="180" spans="3:6" ht="15" customHeight="1" x14ac:dyDescent="0.25">
      <c r="C180" s="160"/>
      <c r="D180" s="160"/>
      <c r="E180" s="160"/>
      <c r="F180" s="160"/>
    </row>
    <row r="181" spans="3:6" ht="15" customHeight="1" x14ac:dyDescent="0.25">
      <c r="C181" s="160"/>
      <c r="D181" s="160"/>
      <c r="E181" s="160"/>
      <c r="F181" s="160"/>
    </row>
    <row r="182" spans="3:6" ht="15" customHeight="1" x14ac:dyDescent="0.25">
      <c r="C182" s="160"/>
      <c r="D182" s="160"/>
      <c r="E182" s="160"/>
      <c r="F182" s="160"/>
    </row>
    <row r="183" spans="3:6" ht="15" customHeight="1" x14ac:dyDescent="0.25">
      <c r="C183" s="160"/>
      <c r="D183" s="160"/>
      <c r="E183" s="160"/>
      <c r="F183" s="160"/>
    </row>
    <row r="184" spans="3:6" ht="15" customHeight="1" x14ac:dyDescent="0.25">
      <c r="C184" s="160"/>
      <c r="D184" s="160"/>
      <c r="E184" s="160"/>
      <c r="F184" s="160"/>
    </row>
    <row r="185" spans="3:6" ht="15" customHeight="1" x14ac:dyDescent="0.25">
      <c r="C185" s="160"/>
      <c r="D185" s="160"/>
      <c r="E185" s="160"/>
      <c r="F185" s="160"/>
    </row>
    <row r="186" spans="3:6" ht="15" customHeight="1" x14ac:dyDescent="0.25">
      <c r="C186" s="160"/>
      <c r="D186" s="160"/>
      <c r="E186" s="160"/>
      <c r="F186" s="160"/>
    </row>
    <row r="187" spans="3:6" ht="15" customHeight="1" x14ac:dyDescent="0.25">
      <c r="C187" s="160"/>
      <c r="D187" s="160"/>
      <c r="E187" s="160"/>
      <c r="F187" s="160"/>
    </row>
    <row r="188" spans="3:6" ht="15" customHeight="1" x14ac:dyDescent="0.25">
      <c r="C188" s="160"/>
      <c r="D188" s="160"/>
      <c r="E188" s="160"/>
      <c r="F188" s="160"/>
    </row>
    <row r="189" spans="3:6" ht="15" customHeight="1" x14ac:dyDescent="0.25">
      <c r="C189" s="160"/>
      <c r="D189" s="160"/>
      <c r="E189" s="160"/>
      <c r="F189" s="160"/>
    </row>
    <row r="190" spans="3:6" ht="15" customHeight="1" x14ac:dyDescent="0.25">
      <c r="C190" s="160"/>
      <c r="D190" s="160"/>
      <c r="E190" s="160"/>
      <c r="F190" s="160"/>
    </row>
    <row r="191" spans="3:6" ht="15" customHeight="1" x14ac:dyDescent="0.25">
      <c r="C191" s="160"/>
      <c r="D191" s="160"/>
      <c r="E191" s="160"/>
      <c r="F191" s="160"/>
    </row>
    <row r="192" spans="3:6" ht="15" customHeight="1" x14ac:dyDescent="0.25">
      <c r="C192" s="160"/>
      <c r="D192" s="160"/>
      <c r="E192" s="160"/>
      <c r="F192" s="160"/>
    </row>
    <row r="193" spans="3:6" ht="15" customHeight="1" x14ac:dyDescent="0.25">
      <c r="C193" s="160"/>
      <c r="D193" s="160"/>
      <c r="E193" s="160"/>
      <c r="F193" s="160"/>
    </row>
    <row r="194" spans="3:6" ht="15" customHeight="1" x14ac:dyDescent="0.25">
      <c r="C194" s="160"/>
      <c r="D194" s="160"/>
      <c r="E194" s="160"/>
      <c r="F194" s="160"/>
    </row>
    <row r="195" spans="3:6" ht="15" customHeight="1" x14ac:dyDescent="0.25">
      <c r="C195" s="160"/>
      <c r="D195" s="160"/>
      <c r="E195" s="160"/>
      <c r="F195" s="160"/>
    </row>
    <row r="196" spans="3:6" ht="15" customHeight="1" x14ac:dyDescent="0.25">
      <c r="C196" s="160"/>
      <c r="D196" s="160"/>
      <c r="E196" s="160"/>
      <c r="F196" s="160"/>
    </row>
    <row r="197" spans="3:6" ht="15" customHeight="1" x14ac:dyDescent="0.25">
      <c r="C197" s="160"/>
      <c r="D197" s="160"/>
      <c r="E197" s="160"/>
      <c r="F197" s="160"/>
    </row>
    <row r="198" spans="3:6" ht="15" customHeight="1" x14ac:dyDescent="0.25">
      <c r="C198" s="160"/>
      <c r="D198" s="160"/>
      <c r="E198" s="160"/>
      <c r="F198" s="160"/>
    </row>
    <row r="199" spans="3:6" ht="15" customHeight="1" x14ac:dyDescent="0.25">
      <c r="C199" s="160"/>
      <c r="D199" s="160"/>
      <c r="E199" s="160"/>
      <c r="F199" s="160"/>
    </row>
    <row r="200" spans="3:6" ht="15" customHeight="1" x14ac:dyDescent="0.25">
      <c r="C200" s="160"/>
      <c r="D200" s="160"/>
      <c r="E200" s="160"/>
      <c r="F200" s="160"/>
    </row>
    <row r="201" spans="3:6" ht="15" customHeight="1" x14ac:dyDescent="0.25">
      <c r="C201" s="160"/>
      <c r="D201" s="160"/>
      <c r="E201" s="160"/>
      <c r="F201" s="160"/>
    </row>
    <row r="202" spans="3:6" ht="15" customHeight="1" x14ac:dyDescent="0.25">
      <c r="C202" s="160"/>
      <c r="D202" s="160"/>
      <c r="E202" s="160"/>
      <c r="F202" s="160"/>
    </row>
    <row r="203" spans="3:6" ht="15" customHeight="1" x14ac:dyDescent="0.25">
      <c r="C203" s="160"/>
      <c r="D203" s="160"/>
      <c r="E203" s="160"/>
      <c r="F203" s="160"/>
    </row>
    <row r="204" spans="3:6" ht="15" customHeight="1" x14ac:dyDescent="0.25">
      <c r="C204" s="160"/>
      <c r="D204" s="160"/>
      <c r="E204" s="160"/>
      <c r="F204" s="160"/>
    </row>
    <row r="205" spans="3:6" ht="15" customHeight="1" x14ac:dyDescent="0.25">
      <c r="C205" s="160"/>
      <c r="D205" s="160"/>
      <c r="E205" s="160"/>
      <c r="F205" s="160"/>
    </row>
    <row r="206" spans="3:6" ht="15" customHeight="1" x14ac:dyDescent="0.25">
      <c r="C206" s="160"/>
      <c r="D206" s="160"/>
      <c r="E206" s="160"/>
      <c r="F206" s="160"/>
    </row>
    <row r="207" spans="3:6" ht="15" customHeight="1" x14ac:dyDescent="0.25">
      <c r="C207" s="160"/>
      <c r="D207" s="160"/>
      <c r="E207" s="160"/>
      <c r="F207" s="160"/>
    </row>
    <row r="208" spans="3:6" ht="15" customHeight="1" x14ac:dyDescent="0.25">
      <c r="C208" s="160"/>
      <c r="D208" s="160"/>
      <c r="E208" s="160"/>
      <c r="F208" s="160"/>
    </row>
    <row r="209" spans="3:6" ht="15" customHeight="1" x14ac:dyDescent="0.25">
      <c r="C209" s="160"/>
      <c r="D209" s="160"/>
      <c r="E209" s="160"/>
      <c r="F209" s="160"/>
    </row>
    <row r="210" spans="3:6" ht="15" customHeight="1" x14ac:dyDescent="0.25">
      <c r="C210" s="160"/>
      <c r="D210" s="160"/>
      <c r="E210" s="160"/>
      <c r="F210" s="160"/>
    </row>
    <row r="211" spans="3:6" ht="15" customHeight="1" x14ac:dyDescent="0.25">
      <c r="C211" s="160"/>
      <c r="D211" s="160"/>
      <c r="E211" s="160"/>
      <c r="F211" s="160"/>
    </row>
    <row r="212" spans="3:6" ht="15" customHeight="1" x14ac:dyDescent="0.25">
      <c r="C212" s="160"/>
      <c r="D212" s="160"/>
      <c r="E212" s="160"/>
      <c r="F212" s="160"/>
    </row>
    <row r="213" spans="3:6" ht="15" customHeight="1" x14ac:dyDescent="0.25">
      <c r="C213" s="160"/>
      <c r="D213" s="160"/>
      <c r="E213" s="160"/>
      <c r="F213" s="160"/>
    </row>
    <row r="214" spans="3:6" ht="15" customHeight="1" x14ac:dyDescent="0.25">
      <c r="C214" s="160"/>
      <c r="D214" s="160"/>
      <c r="E214" s="160"/>
      <c r="F214" s="160"/>
    </row>
    <row r="215" spans="3:6" ht="15" customHeight="1" x14ac:dyDescent="0.25">
      <c r="C215" s="160"/>
      <c r="D215" s="160"/>
      <c r="E215" s="160"/>
      <c r="F215" s="160"/>
    </row>
    <row r="216" spans="3:6" ht="15" customHeight="1" x14ac:dyDescent="0.25">
      <c r="C216" s="160"/>
      <c r="D216" s="160"/>
      <c r="E216" s="160"/>
      <c r="F216" s="160"/>
    </row>
    <row r="217" spans="3:6" ht="15" customHeight="1" x14ac:dyDescent="0.25">
      <c r="C217" s="160"/>
      <c r="D217" s="160"/>
      <c r="E217" s="160"/>
      <c r="F217" s="160"/>
    </row>
    <row r="218" spans="3:6" ht="15" customHeight="1" x14ac:dyDescent="0.25">
      <c r="C218" s="160"/>
      <c r="D218" s="160"/>
      <c r="E218" s="160"/>
      <c r="F218" s="160"/>
    </row>
    <row r="219" spans="3:6" ht="15" customHeight="1" x14ac:dyDescent="0.25">
      <c r="C219" s="160"/>
      <c r="D219" s="160"/>
      <c r="E219" s="160"/>
      <c r="F219" s="160"/>
    </row>
    <row r="220" spans="3:6" ht="15" customHeight="1" x14ac:dyDescent="0.25">
      <c r="C220" s="160"/>
      <c r="D220" s="160"/>
      <c r="E220" s="160"/>
      <c r="F220" s="160"/>
    </row>
    <row r="221" spans="3:6" ht="15" customHeight="1" x14ac:dyDescent="0.25">
      <c r="C221" s="160"/>
      <c r="D221" s="160"/>
      <c r="E221" s="160"/>
      <c r="F221" s="160"/>
    </row>
    <row r="222" spans="3:6" ht="15" customHeight="1" x14ac:dyDescent="0.25">
      <c r="C222" s="160"/>
      <c r="D222" s="160"/>
      <c r="E222" s="160"/>
      <c r="F222" s="160"/>
    </row>
    <row r="223" spans="3:6" ht="15" customHeight="1" x14ac:dyDescent="0.25">
      <c r="C223" s="160"/>
      <c r="D223" s="160"/>
      <c r="E223" s="160"/>
      <c r="F223" s="160"/>
    </row>
    <row r="224" spans="3:6" ht="15" customHeight="1" x14ac:dyDescent="0.25">
      <c r="C224" s="160"/>
      <c r="D224" s="160"/>
      <c r="E224" s="160"/>
      <c r="F224" s="160"/>
    </row>
    <row r="225" spans="3:6" ht="15" customHeight="1" x14ac:dyDescent="0.25">
      <c r="C225" s="160"/>
      <c r="D225" s="160"/>
      <c r="E225" s="160"/>
      <c r="F225" s="160"/>
    </row>
    <row r="226" spans="3:6" ht="15" customHeight="1" x14ac:dyDescent="0.25">
      <c r="C226" s="160"/>
      <c r="D226" s="160"/>
      <c r="E226" s="160"/>
      <c r="F226" s="160"/>
    </row>
    <row r="227" spans="3:6" ht="15" customHeight="1" x14ac:dyDescent="0.25">
      <c r="C227" s="160"/>
      <c r="D227" s="160"/>
      <c r="E227" s="160"/>
      <c r="F227" s="160"/>
    </row>
    <row r="228" spans="3:6" ht="15" customHeight="1" x14ac:dyDescent="0.25">
      <c r="C228" s="160"/>
      <c r="D228" s="160"/>
      <c r="E228" s="160"/>
      <c r="F228" s="160"/>
    </row>
    <row r="229" spans="3:6" ht="15" customHeight="1" x14ac:dyDescent="0.25">
      <c r="C229" s="160"/>
      <c r="D229" s="160"/>
      <c r="E229" s="160"/>
      <c r="F229" s="160"/>
    </row>
    <row r="230" spans="3:6" ht="15" customHeight="1" x14ac:dyDescent="0.25">
      <c r="C230" s="160"/>
      <c r="D230" s="160"/>
      <c r="E230" s="160"/>
      <c r="F230" s="160"/>
    </row>
    <row r="231" spans="3:6" ht="15" customHeight="1" x14ac:dyDescent="0.25">
      <c r="C231" s="160"/>
      <c r="D231" s="160"/>
      <c r="E231" s="160"/>
      <c r="F231" s="160"/>
    </row>
    <row r="232" spans="3:6" ht="15" customHeight="1" x14ac:dyDescent="0.25">
      <c r="C232" s="160"/>
      <c r="D232" s="160"/>
      <c r="E232" s="160"/>
      <c r="F232" s="160"/>
    </row>
    <row r="233" spans="3:6" ht="15" customHeight="1" x14ac:dyDescent="0.25">
      <c r="C233" s="160"/>
      <c r="D233" s="160"/>
      <c r="E233" s="160"/>
      <c r="F233" s="160"/>
    </row>
    <row r="234" spans="3:6" ht="15" customHeight="1" x14ac:dyDescent="0.25">
      <c r="C234" s="160"/>
      <c r="D234" s="160"/>
      <c r="E234" s="160"/>
      <c r="F234" s="160"/>
    </row>
    <row r="235" spans="3:6" ht="15" customHeight="1" x14ac:dyDescent="0.25">
      <c r="C235" s="160"/>
      <c r="D235" s="160"/>
      <c r="E235" s="160"/>
      <c r="F235" s="160"/>
    </row>
    <row r="236" spans="3:6" ht="15" customHeight="1" x14ac:dyDescent="0.25">
      <c r="C236" s="160"/>
      <c r="D236" s="160"/>
      <c r="E236" s="160"/>
      <c r="F236" s="160"/>
    </row>
    <row r="237" spans="3:6" ht="15" customHeight="1" x14ac:dyDescent="0.25">
      <c r="C237" s="160"/>
      <c r="D237" s="160"/>
      <c r="E237" s="160"/>
      <c r="F237" s="160"/>
    </row>
    <row r="238" spans="3:6" ht="15" customHeight="1" x14ac:dyDescent="0.25">
      <c r="C238" s="160"/>
      <c r="D238" s="160"/>
      <c r="E238" s="160"/>
      <c r="F238" s="160"/>
    </row>
    <row r="239" spans="3:6" ht="15" customHeight="1" x14ac:dyDescent="0.25">
      <c r="C239" s="160"/>
      <c r="D239" s="160"/>
      <c r="E239" s="160"/>
      <c r="F239" s="160"/>
    </row>
    <row r="240" spans="3:6" ht="15" customHeight="1" x14ac:dyDescent="0.25">
      <c r="C240" s="160"/>
      <c r="D240" s="160"/>
      <c r="E240" s="160"/>
      <c r="F240" s="160"/>
    </row>
    <row r="241" spans="3:6" ht="15" customHeight="1" x14ac:dyDescent="0.25">
      <c r="C241" s="160"/>
      <c r="D241" s="160"/>
      <c r="E241" s="160"/>
      <c r="F241" s="160"/>
    </row>
    <row r="242" spans="3:6" ht="15" customHeight="1" x14ac:dyDescent="0.25">
      <c r="C242" s="160"/>
      <c r="D242" s="160"/>
      <c r="E242" s="160"/>
      <c r="F242" s="160"/>
    </row>
    <row r="243" spans="3:6" ht="15" customHeight="1" x14ac:dyDescent="0.25">
      <c r="C243" s="160"/>
      <c r="D243" s="160"/>
      <c r="E243" s="160"/>
      <c r="F243" s="160"/>
    </row>
    <row r="244" spans="3:6" ht="15" customHeight="1" x14ac:dyDescent="0.25">
      <c r="C244" s="160"/>
      <c r="D244" s="160"/>
      <c r="E244" s="160"/>
      <c r="F244" s="160"/>
    </row>
    <row r="245" spans="3:6" ht="15" customHeight="1" x14ac:dyDescent="0.25">
      <c r="C245" s="160"/>
      <c r="D245" s="160"/>
      <c r="E245" s="160"/>
      <c r="F245" s="160"/>
    </row>
    <row r="246" spans="3:6" ht="15" customHeight="1" x14ac:dyDescent="0.25">
      <c r="C246" s="160"/>
      <c r="D246" s="160"/>
      <c r="E246" s="160"/>
      <c r="F246" s="160"/>
    </row>
    <row r="247" spans="3:6" ht="15" customHeight="1" x14ac:dyDescent="0.25">
      <c r="C247" s="160"/>
      <c r="D247" s="160"/>
      <c r="E247" s="160"/>
      <c r="F247" s="160"/>
    </row>
    <row r="248" spans="3:6" ht="15" customHeight="1" x14ac:dyDescent="0.25">
      <c r="C248" s="160"/>
      <c r="D248" s="160"/>
      <c r="E248" s="160"/>
      <c r="F248" s="160"/>
    </row>
    <row r="249" spans="3:6" ht="15" customHeight="1" x14ac:dyDescent="0.25">
      <c r="C249" s="160"/>
      <c r="D249" s="160"/>
      <c r="E249" s="160"/>
      <c r="F249" s="160"/>
    </row>
    <row r="250" spans="3:6" ht="15" customHeight="1" x14ac:dyDescent="0.25">
      <c r="C250" s="160"/>
      <c r="D250" s="160"/>
      <c r="E250" s="160"/>
      <c r="F250" s="160"/>
    </row>
    <row r="251" spans="3:6" ht="15" customHeight="1" x14ac:dyDescent="0.25">
      <c r="C251" s="160"/>
      <c r="D251" s="160"/>
      <c r="E251" s="160"/>
      <c r="F251" s="160"/>
    </row>
    <row r="252" spans="3:6" ht="15" customHeight="1" x14ac:dyDescent="0.25">
      <c r="C252" s="160"/>
      <c r="D252" s="160"/>
      <c r="E252" s="160"/>
      <c r="F252" s="160"/>
    </row>
    <row r="253" spans="3:6" ht="15" customHeight="1" x14ac:dyDescent="0.25">
      <c r="C253" s="160"/>
      <c r="D253" s="160"/>
      <c r="E253" s="160"/>
      <c r="F253" s="160"/>
    </row>
    <row r="254" spans="3:6" ht="15" customHeight="1" x14ac:dyDescent="0.25">
      <c r="C254" s="160"/>
      <c r="D254" s="160"/>
      <c r="E254" s="160"/>
      <c r="F254" s="160"/>
    </row>
    <row r="255" spans="3:6" ht="15" customHeight="1" x14ac:dyDescent="0.25">
      <c r="C255" s="160"/>
      <c r="D255" s="160"/>
      <c r="E255" s="160"/>
      <c r="F255" s="160"/>
    </row>
    <row r="256" spans="3:6" ht="15" customHeight="1" x14ac:dyDescent="0.25">
      <c r="C256" s="160"/>
      <c r="D256" s="160"/>
      <c r="E256" s="160"/>
      <c r="F256" s="160"/>
    </row>
    <row r="257" spans="3:6" ht="15" customHeight="1" x14ac:dyDescent="0.25">
      <c r="C257" s="160"/>
      <c r="D257" s="160"/>
      <c r="E257" s="160"/>
      <c r="F257" s="160"/>
    </row>
    <row r="258" spans="3:6" ht="15" customHeight="1" x14ac:dyDescent="0.25">
      <c r="C258" s="160"/>
      <c r="D258" s="160"/>
      <c r="E258" s="160"/>
      <c r="F258" s="160"/>
    </row>
    <row r="259" spans="3:6" ht="15" customHeight="1" x14ac:dyDescent="0.25">
      <c r="C259" s="160"/>
      <c r="D259" s="160"/>
      <c r="E259" s="160"/>
      <c r="F259" s="160"/>
    </row>
    <row r="260" spans="3:6" ht="15" customHeight="1" x14ac:dyDescent="0.25">
      <c r="C260" s="160"/>
      <c r="D260" s="160"/>
      <c r="E260" s="160"/>
      <c r="F260" s="160"/>
    </row>
    <row r="261" spans="3:6" ht="15" customHeight="1" x14ac:dyDescent="0.25">
      <c r="C261" s="160"/>
      <c r="D261" s="160"/>
      <c r="E261" s="160"/>
      <c r="F261" s="160"/>
    </row>
    <row r="262" spans="3:6" ht="15" customHeight="1" x14ac:dyDescent="0.25">
      <c r="C262" s="160"/>
      <c r="D262" s="160"/>
      <c r="E262" s="160"/>
      <c r="F262" s="160"/>
    </row>
    <row r="263" spans="3:6" ht="15" customHeight="1" x14ac:dyDescent="0.25">
      <c r="C263" s="160"/>
      <c r="D263" s="160"/>
      <c r="E263" s="160"/>
      <c r="F263" s="160"/>
    </row>
    <row r="264" spans="3:6" ht="15" customHeight="1" x14ac:dyDescent="0.25">
      <c r="C264" s="160"/>
      <c r="D264" s="160"/>
      <c r="E264" s="160"/>
      <c r="F264" s="160"/>
    </row>
    <row r="265" spans="3:6" ht="15" customHeight="1" x14ac:dyDescent="0.25">
      <c r="C265" s="160"/>
      <c r="D265" s="160"/>
      <c r="E265" s="160"/>
      <c r="F265" s="160"/>
    </row>
    <row r="266" spans="3:6" ht="15" customHeight="1" x14ac:dyDescent="0.25">
      <c r="C266" s="160"/>
      <c r="D266" s="160"/>
      <c r="E266" s="160"/>
      <c r="F266" s="160"/>
    </row>
    <row r="267" spans="3:6" ht="15" customHeight="1" x14ac:dyDescent="0.25">
      <c r="C267" s="160"/>
      <c r="D267" s="160"/>
      <c r="E267" s="160"/>
      <c r="F267" s="160"/>
    </row>
    <row r="268" spans="3:6" ht="15" customHeight="1" x14ac:dyDescent="0.25">
      <c r="C268" s="160"/>
      <c r="D268" s="160"/>
      <c r="E268" s="160"/>
      <c r="F268" s="160"/>
    </row>
    <row r="269" spans="3:6" ht="15" customHeight="1" x14ac:dyDescent="0.25">
      <c r="C269" s="160"/>
      <c r="D269" s="160"/>
      <c r="E269" s="160"/>
      <c r="F269" s="160"/>
    </row>
    <row r="270" spans="3:6" ht="15" customHeight="1" x14ac:dyDescent="0.25">
      <c r="C270" s="160"/>
      <c r="D270" s="160"/>
      <c r="E270" s="160"/>
      <c r="F270" s="160"/>
    </row>
    <row r="271" spans="3:6" ht="15" customHeight="1" x14ac:dyDescent="0.25">
      <c r="C271" s="160"/>
      <c r="D271" s="160"/>
      <c r="E271" s="160"/>
      <c r="F271" s="160"/>
    </row>
    <row r="272" spans="3:6" ht="15" customHeight="1" x14ac:dyDescent="0.25">
      <c r="C272" s="160"/>
      <c r="D272" s="160"/>
      <c r="E272" s="160"/>
      <c r="F272" s="160"/>
    </row>
    <row r="273" spans="3:6" ht="15" customHeight="1" x14ac:dyDescent="0.25">
      <c r="C273" s="160"/>
      <c r="D273" s="160"/>
      <c r="E273" s="160"/>
      <c r="F273" s="160"/>
    </row>
    <row r="274" spans="3:6" ht="15" customHeight="1" x14ac:dyDescent="0.25">
      <c r="C274" s="160"/>
      <c r="D274" s="160"/>
      <c r="E274" s="160"/>
      <c r="F274" s="160"/>
    </row>
    <row r="275" spans="3:6" ht="15" customHeight="1" x14ac:dyDescent="0.25">
      <c r="C275" s="160"/>
      <c r="D275" s="160"/>
      <c r="E275" s="160"/>
      <c r="F275" s="160"/>
    </row>
    <row r="276" spans="3:6" ht="15" customHeight="1" x14ac:dyDescent="0.25">
      <c r="C276" s="160"/>
      <c r="D276" s="160"/>
      <c r="E276" s="160"/>
      <c r="F276" s="160"/>
    </row>
    <row r="277" spans="3:6" ht="15" customHeight="1" x14ac:dyDescent="0.25">
      <c r="C277" s="160"/>
      <c r="D277" s="160"/>
      <c r="E277" s="160"/>
      <c r="F277" s="160"/>
    </row>
    <row r="278" spans="3:6" ht="15" customHeight="1" x14ac:dyDescent="0.25">
      <c r="C278" s="160"/>
      <c r="D278" s="160"/>
      <c r="E278" s="160"/>
      <c r="F278" s="160"/>
    </row>
    <row r="279" spans="3:6" ht="15" customHeight="1" x14ac:dyDescent="0.25">
      <c r="C279" s="160"/>
      <c r="D279" s="160"/>
      <c r="E279" s="160"/>
      <c r="F279" s="160"/>
    </row>
    <row r="280" spans="3:6" ht="15" customHeight="1" x14ac:dyDescent="0.25">
      <c r="C280" s="160"/>
      <c r="D280" s="160"/>
      <c r="E280" s="160"/>
      <c r="F280" s="160"/>
    </row>
    <row r="281" spans="3:6" ht="15" customHeight="1" x14ac:dyDescent="0.25">
      <c r="C281" s="160"/>
      <c r="D281" s="160"/>
      <c r="E281" s="160"/>
      <c r="F281" s="160"/>
    </row>
    <row r="282" spans="3:6" ht="15" customHeight="1" x14ac:dyDescent="0.25">
      <c r="C282" s="160"/>
      <c r="D282" s="160"/>
      <c r="E282" s="160"/>
      <c r="F282" s="160"/>
    </row>
    <row r="283" spans="3:6" ht="15" customHeight="1" x14ac:dyDescent="0.25">
      <c r="C283" s="160"/>
      <c r="D283" s="160"/>
      <c r="E283" s="160"/>
      <c r="F283" s="160"/>
    </row>
    <row r="284" spans="3:6" ht="15" customHeight="1" x14ac:dyDescent="0.25">
      <c r="C284" s="160"/>
      <c r="D284" s="160"/>
      <c r="E284" s="160"/>
      <c r="F284" s="160"/>
    </row>
    <row r="285" spans="3:6" ht="15" customHeight="1" x14ac:dyDescent="0.25">
      <c r="C285" s="160"/>
      <c r="D285" s="160"/>
      <c r="E285" s="160"/>
      <c r="F285" s="160"/>
    </row>
    <row r="286" spans="3:6" ht="15" customHeight="1" x14ac:dyDescent="0.25">
      <c r="C286" s="160"/>
      <c r="D286" s="160"/>
      <c r="E286" s="160"/>
      <c r="F286" s="160"/>
    </row>
    <row r="287" spans="3:6" ht="15" customHeight="1" x14ac:dyDescent="0.25">
      <c r="C287" s="160"/>
      <c r="D287" s="160"/>
      <c r="E287" s="160"/>
      <c r="F287" s="160"/>
    </row>
    <row r="288" spans="3:6" ht="15" customHeight="1" x14ac:dyDescent="0.25">
      <c r="C288" s="160"/>
      <c r="D288" s="160"/>
      <c r="E288" s="160"/>
      <c r="F288" s="160"/>
    </row>
    <row r="289" spans="3:6" ht="15" customHeight="1" x14ac:dyDescent="0.25">
      <c r="C289" s="160"/>
      <c r="D289" s="160"/>
      <c r="E289" s="160"/>
      <c r="F289" s="160"/>
    </row>
    <row r="290" spans="3:6" ht="15" customHeight="1" x14ac:dyDescent="0.25">
      <c r="C290" s="160"/>
      <c r="D290" s="160"/>
      <c r="E290" s="160"/>
      <c r="F290" s="160"/>
    </row>
    <row r="291" spans="3:6" ht="15" customHeight="1" x14ac:dyDescent="0.25">
      <c r="C291" s="160"/>
      <c r="D291" s="160"/>
      <c r="E291" s="160"/>
      <c r="F291" s="160"/>
    </row>
    <row r="292" spans="3:6" ht="15" customHeight="1" x14ac:dyDescent="0.25">
      <c r="C292" s="160"/>
      <c r="D292" s="160"/>
      <c r="E292" s="160"/>
      <c r="F292" s="160"/>
    </row>
    <row r="293" spans="3:6" ht="15" customHeight="1" x14ac:dyDescent="0.25">
      <c r="C293" s="160"/>
      <c r="D293" s="160"/>
      <c r="E293" s="160"/>
      <c r="F293" s="160"/>
    </row>
    <row r="294" spans="3:6" ht="15" customHeight="1" x14ac:dyDescent="0.25">
      <c r="C294" s="160"/>
      <c r="D294" s="160"/>
      <c r="E294" s="160"/>
      <c r="F294" s="160"/>
    </row>
    <row r="295" spans="3:6" ht="15" customHeight="1" x14ac:dyDescent="0.25">
      <c r="C295" s="160"/>
      <c r="D295" s="160"/>
      <c r="E295" s="160"/>
      <c r="F295" s="160"/>
    </row>
    <row r="296" spans="3:6" ht="15" customHeight="1" x14ac:dyDescent="0.25">
      <c r="C296" s="160"/>
      <c r="D296" s="160"/>
      <c r="E296" s="160"/>
      <c r="F296" s="160"/>
    </row>
    <row r="297" spans="3:6" ht="15" customHeight="1" x14ac:dyDescent="0.25">
      <c r="C297" s="160"/>
      <c r="D297" s="160"/>
      <c r="E297" s="160"/>
      <c r="F297" s="160"/>
    </row>
    <row r="298" spans="3:6" ht="15" customHeight="1" x14ac:dyDescent="0.25">
      <c r="C298" s="160"/>
      <c r="D298" s="160"/>
      <c r="E298" s="160"/>
      <c r="F298" s="160"/>
    </row>
    <row r="299" spans="3:6" ht="15" customHeight="1" x14ac:dyDescent="0.25">
      <c r="C299" s="160"/>
      <c r="D299" s="160"/>
      <c r="E299" s="160"/>
      <c r="F299" s="160"/>
    </row>
    <row r="300" spans="3:6" ht="15" customHeight="1" x14ac:dyDescent="0.25">
      <c r="C300" s="160"/>
      <c r="D300" s="160"/>
      <c r="E300" s="160"/>
      <c r="F300" s="160"/>
    </row>
    <row r="301" spans="3:6" ht="15" customHeight="1" x14ac:dyDescent="0.25">
      <c r="C301" s="160"/>
      <c r="D301" s="160"/>
      <c r="E301" s="160"/>
      <c r="F301" s="160"/>
    </row>
    <row r="302" spans="3:6" ht="15" customHeight="1" x14ac:dyDescent="0.25">
      <c r="C302" s="160"/>
      <c r="D302" s="160"/>
      <c r="E302" s="160"/>
      <c r="F302" s="160"/>
    </row>
    <row r="303" spans="3:6" ht="15" customHeight="1" x14ac:dyDescent="0.25">
      <c r="C303" s="160"/>
      <c r="D303" s="160"/>
      <c r="E303" s="160"/>
      <c r="F303" s="160"/>
    </row>
    <row r="304" spans="3:6" ht="15" customHeight="1" x14ac:dyDescent="0.25">
      <c r="C304" s="160"/>
      <c r="D304" s="160"/>
      <c r="E304" s="160"/>
      <c r="F304" s="160"/>
    </row>
    <row r="305" spans="3:6" ht="15" customHeight="1" x14ac:dyDescent="0.25">
      <c r="C305" s="160"/>
      <c r="D305" s="160"/>
      <c r="E305" s="160"/>
      <c r="F305" s="160"/>
    </row>
    <row r="306" spans="3:6" ht="15" customHeight="1" x14ac:dyDescent="0.25">
      <c r="C306" s="160"/>
      <c r="D306" s="160"/>
      <c r="E306" s="160"/>
      <c r="F306" s="160"/>
    </row>
    <row r="307" spans="3:6" ht="15" customHeight="1" x14ac:dyDescent="0.25">
      <c r="C307" s="160"/>
      <c r="D307" s="160"/>
      <c r="E307" s="160"/>
      <c r="F307" s="160"/>
    </row>
    <row r="308" spans="3:6" ht="15" customHeight="1" x14ac:dyDescent="0.25">
      <c r="C308" s="160"/>
      <c r="D308" s="160"/>
      <c r="E308" s="160"/>
      <c r="F308" s="160"/>
    </row>
    <row r="309" spans="3:6" ht="15" customHeight="1" x14ac:dyDescent="0.25">
      <c r="C309" s="160"/>
      <c r="D309" s="160"/>
      <c r="E309" s="160"/>
      <c r="F309" s="160"/>
    </row>
    <row r="310" spans="3:6" ht="15" customHeight="1" x14ac:dyDescent="0.25">
      <c r="C310" s="160"/>
      <c r="D310" s="160"/>
      <c r="E310" s="160"/>
      <c r="F310" s="160"/>
    </row>
    <row r="311" spans="3:6" ht="15" customHeight="1" x14ac:dyDescent="0.25">
      <c r="C311" s="160"/>
      <c r="D311" s="160"/>
      <c r="E311" s="160"/>
      <c r="F311" s="160"/>
    </row>
    <row r="312" spans="3:6" ht="15" customHeight="1" x14ac:dyDescent="0.25">
      <c r="C312" s="160"/>
      <c r="D312" s="160"/>
      <c r="E312" s="160"/>
      <c r="F312" s="160"/>
    </row>
    <row r="313" spans="3:6" ht="15" customHeight="1" x14ac:dyDescent="0.25">
      <c r="C313" s="160"/>
      <c r="D313" s="160"/>
      <c r="E313" s="160"/>
      <c r="F313" s="160"/>
    </row>
    <row r="314" spans="3:6" ht="15" customHeight="1" x14ac:dyDescent="0.25">
      <c r="C314" s="160"/>
      <c r="D314" s="160"/>
      <c r="E314" s="160"/>
      <c r="F314" s="160"/>
    </row>
    <row r="315" spans="3:6" ht="15" customHeight="1" x14ac:dyDescent="0.25">
      <c r="C315" s="160"/>
      <c r="D315" s="160"/>
      <c r="E315" s="160"/>
      <c r="F315" s="160"/>
    </row>
    <row r="316" spans="3:6" ht="15" customHeight="1" x14ac:dyDescent="0.25">
      <c r="C316" s="160"/>
      <c r="D316" s="160"/>
      <c r="E316" s="160"/>
      <c r="F316" s="160"/>
    </row>
    <row r="317" spans="3:6" ht="15" customHeight="1" x14ac:dyDescent="0.25">
      <c r="C317" s="160"/>
      <c r="D317" s="160"/>
      <c r="E317" s="160"/>
      <c r="F317" s="160"/>
    </row>
    <row r="318" spans="3:6" ht="15" customHeight="1" x14ac:dyDescent="0.25">
      <c r="C318" s="160"/>
      <c r="D318" s="160"/>
      <c r="E318" s="160"/>
      <c r="F318" s="160"/>
    </row>
    <row r="319" spans="3:6" ht="15" customHeight="1" x14ac:dyDescent="0.25">
      <c r="C319" s="160"/>
      <c r="D319" s="160"/>
      <c r="E319" s="160"/>
      <c r="F319" s="160"/>
    </row>
    <row r="320" spans="3:6" ht="15" customHeight="1" x14ac:dyDescent="0.25">
      <c r="C320" s="160"/>
      <c r="D320" s="160"/>
      <c r="E320" s="160"/>
      <c r="F320" s="160"/>
    </row>
    <row r="321" spans="3:6" ht="15" customHeight="1" x14ac:dyDescent="0.25">
      <c r="C321" s="160"/>
      <c r="D321" s="160"/>
      <c r="E321" s="160"/>
      <c r="F321" s="160"/>
    </row>
    <row r="322" spans="3:6" ht="15" customHeight="1" x14ac:dyDescent="0.25">
      <c r="C322" s="160"/>
      <c r="D322" s="160"/>
      <c r="E322" s="160"/>
      <c r="F322" s="160"/>
    </row>
    <row r="323" spans="3:6" ht="15" customHeight="1" x14ac:dyDescent="0.25">
      <c r="C323" s="160"/>
      <c r="D323" s="160"/>
      <c r="E323" s="160"/>
      <c r="F323" s="160"/>
    </row>
    <row r="324" spans="3:6" ht="15" customHeight="1" x14ac:dyDescent="0.25">
      <c r="C324" s="160"/>
      <c r="D324" s="160"/>
      <c r="E324" s="160"/>
      <c r="F324" s="160"/>
    </row>
    <row r="325" spans="3:6" ht="15" customHeight="1" x14ac:dyDescent="0.25">
      <c r="C325" s="160"/>
      <c r="D325" s="160"/>
      <c r="E325" s="160"/>
      <c r="F325" s="160"/>
    </row>
    <row r="326" spans="3:6" ht="15" customHeight="1" x14ac:dyDescent="0.25">
      <c r="C326" s="160"/>
      <c r="D326" s="160"/>
      <c r="E326" s="160"/>
      <c r="F326" s="160"/>
    </row>
    <row r="327" spans="3:6" ht="15" customHeight="1" x14ac:dyDescent="0.25">
      <c r="C327" s="160"/>
      <c r="D327" s="160"/>
      <c r="E327" s="160"/>
      <c r="F327" s="160"/>
    </row>
    <row r="328" spans="3:6" ht="15" customHeight="1" x14ac:dyDescent="0.25">
      <c r="C328" s="160"/>
      <c r="D328" s="160"/>
      <c r="E328" s="160"/>
      <c r="F328" s="160"/>
    </row>
    <row r="329" spans="3:6" ht="15" customHeight="1" x14ac:dyDescent="0.25">
      <c r="C329" s="160"/>
      <c r="D329" s="160"/>
      <c r="E329" s="160"/>
      <c r="F329" s="160"/>
    </row>
    <row r="330" spans="3:6" ht="15" customHeight="1" x14ac:dyDescent="0.25">
      <c r="C330" s="160"/>
      <c r="D330" s="160"/>
      <c r="E330" s="160"/>
      <c r="F330" s="160"/>
    </row>
    <row r="331" spans="3:6" ht="15" customHeight="1" x14ac:dyDescent="0.25">
      <c r="C331" s="160"/>
      <c r="D331" s="160"/>
      <c r="E331" s="160"/>
      <c r="F331" s="160"/>
    </row>
    <row r="332" spans="3:6" ht="15" customHeight="1" x14ac:dyDescent="0.25">
      <c r="C332" s="160"/>
      <c r="D332" s="160"/>
      <c r="E332" s="160"/>
      <c r="F332" s="160"/>
    </row>
    <row r="333" spans="3:6" ht="15" customHeight="1" x14ac:dyDescent="0.25">
      <c r="C333" s="160"/>
      <c r="D333" s="160"/>
      <c r="E333" s="160"/>
      <c r="F333" s="160"/>
    </row>
    <row r="334" spans="3:6" ht="15" customHeight="1" x14ac:dyDescent="0.25">
      <c r="C334" s="160"/>
      <c r="D334" s="160"/>
      <c r="E334" s="160"/>
      <c r="F334" s="160"/>
    </row>
    <row r="335" spans="3:6" ht="15" customHeight="1" x14ac:dyDescent="0.25">
      <c r="C335" s="160"/>
      <c r="D335" s="160"/>
      <c r="E335" s="160"/>
      <c r="F335" s="160"/>
    </row>
    <row r="336" spans="3:6" ht="15" customHeight="1" x14ac:dyDescent="0.25">
      <c r="C336" s="160"/>
      <c r="D336" s="160"/>
      <c r="E336" s="160"/>
      <c r="F336" s="160"/>
    </row>
    <row r="337" spans="3:6" ht="15" customHeight="1" x14ac:dyDescent="0.25">
      <c r="C337" s="160"/>
      <c r="D337" s="160"/>
      <c r="E337" s="160"/>
      <c r="F337" s="160"/>
    </row>
    <row r="338" spans="3:6" ht="15" customHeight="1" x14ac:dyDescent="0.25">
      <c r="C338" s="160"/>
      <c r="D338" s="160"/>
      <c r="E338" s="160"/>
      <c r="F338" s="160"/>
    </row>
    <row r="339" spans="3:6" ht="15" customHeight="1" x14ac:dyDescent="0.25">
      <c r="C339" s="160"/>
      <c r="D339" s="160"/>
      <c r="E339" s="160"/>
      <c r="F339" s="160"/>
    </row>
    <row r="340" spans="3:6" ht="15" customHeight="1" x14ac:dyDescent="0.25">
      <c r="C340" s="160"/>
      <c r="D340" s="160"/>
      <c r="E340" s="160"/>
      <c r="F340" s="160"/>
    </row>
    <row r="341" spans="3:6" ht="15" customHeight="1" x14ac:dyDescent="0.25">
      <c r="C341" s="160"/>
      <c r="D341" s="160"/>
      <c r="E341" s="160"/>
      <c r="F341" s="160"/>
    </row>
    <row r="342" spans="3:6" ht="15" customHeight="1" x14ac:dyDescent="0.25">
      <c r="C342" s="160"/>
      <c r="D342" s="160"/>
      <c r="E342" s="160"/>
      <c r="F342" s="160"/>
    </row>
    <row r="343" spans="3:6" ht="15" customHeight="1" x14ac:dyDescent="0.25">
      <c r="C343" s="160"/>
      <c r="D343" s="160"/>
      <c r="E343" s="160"/>
      <c r="F343" s="160"/>
    </row>
    <row r="344" spans="3:6" ht="15" customHeight="1" x14ac:dyDescent="0.25">
      <c r="C344" s="160"/>
      <c r="D344" s="160"/>
      <c r="E344" s="160"/>
      <c r="F344" s="160"/>
    </row>
    <row r="345" spans="3:6" ht="15" customHeight="1" x14ac:dyDescent="0.25">
      <c r="C345" s="160"/>
      <c r="D345" s="160"/>
      <c r="E345" s="160"/>
      <c r="F345" s="160"/>
    </row>
    <row r="346" spans="3:6" ht="15" customHeight="1" x14ac:dyDescent="0.25">
      <c r="C346" s="160"/>
      <c r="D346" s="160"/>
      <c r="E346" s="160"/>
      <c r="F346" s="160"/>
    </row>
    <row r="347" spans="3:6" ht="15" customHeight="1" x14ac:dyDescent="0.25">
      <c r="C347" s="160"/>
      <c r="D347" s="160"/>
      <c r="E347" s="160"/>
      <c r="F347" s="160"/>
    </row>
    <row r="348" spans="3:6" ht="15" customHeight="1" x14ac:dyDescent="0.25">
      <c r="C348" s="160"/>
      <c r="D348" s="160"/>
      <c r="E348" s="160"/>
      <c r="F348" s="160"/>
    </row>
    <row r="349" spans="3:6" ht="15" customHeight="1" x14ac:dyDescent="0.25">
      <c r="C349" s="160"/>
      <c r="D349" s="160"/>
      <c r="E349" s="160"/>
      <c r="F349" s="160"/>
    </row>
    <row r="350" spans="3:6" ht="15" customHeight="1" x14ac:dyDescent="0.25">
      <c r="C350" s="160"/>
      <c r="D350" s="160"/>
      <c r="E350" s="160"/>
      <c r="F350" s="160"/>
    </row>
    <row r="351" spans="3:6" ht="15" customHeight="1" x14ac:dyDescent="0.25">
      <c r="C351" s="160"/>
      <c r="D351" s="160"/>
      <c r="E351" s="160"/>
      <c r="F351" s="160"/>
    </row>
    <row r="352" spans="3:6" ht="15" customHeight="1" x14ac:dyDescent="0.25">
      <c r="C352" s="160"/>
      <c r="D352" s="160"/>
      <c r="E352" s="160"/>
      <c r="F352" s="160"/>
    </row>
    <row r="353" spans="3:6" ht="15" customHeight="1" x14ac:dyDescent="0.25">
      <c r="C353" s="160"/>
      <c r="D353" s="160"/>
      <c r="E353" s="160"/>
      <c r="F353" s="160"/>
    </row>
    <row r="354" spans="3:6" ht="15" customHeight="1" x14ac:dyDescent="0.25">
      <c r="C354" s="160"/>
      <c r="D354" s="160"/>
      <c r="E354" s="160"/>
      <c r="F354" s="160"/>
    </row>
    <row r="355" spans="3:6" ht="15" customHeight="1" x14ac:dyDescent="0.25">
      <c r="C355" s="160"/>
      <c r="D355" s="160"/>
      <c r="E355" s="160"/>
      <c r="F355" s="160"/>
    </row>
    <row r="356" spans="3:6" ht="15" customHeight="1" x14ac:dyDescent="0.25">
      <c r="C356" s="160"/>
      <c r="D356" s="160"/>
      <c r="E356" s="160"/>
      <c r="F356" s="160"/>
    </row>
    <row r="357" spans="3:6" ht="15" customHeight="1" x14ac:dyDescent="0.25">
      <c r="C357" s="160"/>
      <c r="D357" s="160"/>
      <c r="E357" s="160"/>
      <c r="F357" s="160"/>
    </row>
    <row r="358" spans="3:6" ht="15" customHeight="1" x14ac:dyDescent="0.25">
      <c r="C358" s="160"/>
      <c r="D358" s="160"/>
      <c r="E358" s="160"/>
      <c r="F358" s="160"/>
    </row>
    <row r="359" spans="3:6" ht="15" customHeight="1" x14ac:dyDescent="0.25">
      <c r="C359" s="160"/>
      <c r="D359" s="160"/>
      <c r="E359" s="160"/>
      <c r="F359" s="160"/>
    </row>
    <row r="360" spans="3:6" ht="15" customHeight="1" x14ac:dyDescent="0.25">
      <c r="C360" s="160"/>
      <c r="D360" s="160"/>
      <c r="E360" s="160"/>
      <c r="F360" s="160"/>
    </row>
    <row r="361" spans="3:6" ht="15" customHeight="1" x14ac:dyDescent="0.25">
      <c r="C361" s="160"/>
      <c r="D361" s="160"/>
      <c r="E361" s="160"/>
      <c r="F361" s="160"/>
    </row>
    <row r="362" spans="3:6" ht="15" customHeight="1" x14ac:dyDescent="0.25">
      <c r="C362" s="160"/>
      <c r="D362" s="160"/>
      <c r="E362" s="160"/>
      <c r="F362" s="160"/>
    </row>
    <row r="363" spans="3:6" ht="15" customHeight="1" x14ac:dyDescent="0.25">
      <c r="C363" s="160"/>
      <c r="D363" s="160"/>
      <c r="E363" s="160"/>
      <c r="F363" s="160"/>
    </row>
    <row r="364" spans="3:6" ht="15" customHeight="1" x14ac:dyDescent="0.25">
      <c r="C364" s="160"/>
      <c r="D364" s="160"/>
      <c r="E364" s="160"/>
      <c r="F364" s="160"/>
    </row>
    <row r="365" spans="3:6" ht="15" customHeight="1" x14ac:dyDescent="0.25">
      <c r="C365" s="160"/>
      <c r="D365" s="160"/>
      <c r="E365" s="160"/>
      <c r="F365" s="160"/>
    </row>
    <row r="366" spans="3:6" ht="15" customHeight="1" x14ac:dyDescent="0.25">
      <c r="C366" s="160"/>
      <c r="D366" s="160"/>
      <c r="E366" s="160"/>
      <c r="F366" s="160"/>
    </row>
    <row r="367" spans="3:6" ht="15" customHeight="1" x14ac:dyDescent="0.25">
      <c r="C367" s="160"/>
      <c r="D367" s="160"/>
      <c r="E367" s="160"/>
      <c r="F367" s="160"/>
    </row>
    <row r="368" spans="3:6" ht="15" customHeight="1" x14ac:dyDescent="0.25">
      <c r="C368" s="160"/>
      <c r="D368" s="160"/>
      <c r="E368" s="160"/>
      <c r="F368" s="160"/>
    </row>
    <row r="369" spans="3:6" ht="15" customHeight="1" x14ac:dyDescent="0.25">
      <c r="C369" s="160"/>
      <c r="D369" s="160"/>
      <c r="E369" s="160"/>
      <c r="F369" s="160"/>
    </row>
    <row r="370" spans="3:6" ht="15" customHeight="1" x14ac:dyDescent="0.25">
      <c r="C370" s="160"/>
      <c r="D370" s="160"/>
      <c r="E370" s="160"/>
      <c r="F370" s="160"/>
    </row>
    <row r="371" spans="3:6" ht="15" customHeight="1" x14ac:dyDescent="0.25">
      <c r="C371" s="160"/>
      <c r="D371" s="160"/>
      <c r="E371" s="160"/>
      <c r="F371" s="160"/>
    </row>
    <row r="372" spans="3:6" ht="15" customHeight="1" x14ac:dyDescent="0.25">
      <c r="C372" s="160"/>
      <c r="D372" s="160"/>
      <c r="E372" s="160"/>
      <c r="F372" s="160"/>
    </row>
    <row r="373" spans="3:6" ht="15" customHeight="1" x14ac:dyDescent="0.25">
      <c r="C373" s="160"/>
      <c r="D373" s="160"/>
      <c r="E373" s="160"/>
      <c r="F373" s="160"/>
    </row>
    <row r="374" spans="3:6" ht="15" customHeight="1" x14ac:dyDescent="0.25">
      <c r="C374" s="160"/>
      <c r="D374" s="160"/>
      <c r="E374" s="160"/>
      <c r="F374" s="160"/>
    </row>
    <row r="375" spans="3:6" ht="15" customHeight="1" x14ac:dyDescent="0.25">
      <c r="C375" s="160"/>
      <c r="D375" s="160"/>
      <c r="E375" s="160"/>
      <c r="F375" s="160"/>
    </row>
    <row r="376" spans="3:6" ht="15" customHeight="1" x14ac:dyDescent="0.25">
      <c r="C376" s="160"/>
      <c r="D376" s="160"/>
      <c r="E376" s="160"/>
      <c r="F376" s="160"/>
    </row>
    <row r="377" spans="3:6" ht="15" customHeight="1" x14ac:dyDescent="0.25">
      <c r="C377" s="160"/>
      <c r="D377" s="160"/>
      <c r="E377" s="160"/>
      <c r="F377" s="160"/>
    </row>
    <row r="378" spans="3:6" ht="15" customHeight="1" x14ac:dyDescent="0.25">
      <c r="C378" s="160"/>
      <c r="D378" s="160"/>
      <c r="E378" s="160"/>
      <c r="F378" s="160"/>
    </row>
    <row r="379" spans="3:6" ht="15" customHeight="1" x14ac:dyDescent="0.25">
      <c r="C379" s="160"/>
      <c r="D379" s="160"/>
      <c r="E379" s="160"/>
      <c r="F379" s="160"/>
    </row>
    <row r="380" spans="3:6" ht="15" customHeight="1" x14ac:dyDescent="0.25">
      <c r="C380" s="160"/>
      <c r="D380" s="160"/>
      <c r="E380" s="160"/>
      <c r="F380" s="160"/>
    </row>
    <row r="381" spans="3:6" ht="15" customHeight="1" x14ac:dyDescent="0.25">
      <c r="C381" s="160"/>
      <c r="D381" s="160"/>
      <c r="E381" s="160"/>
      <c r="F381" s="160"/>
    </row>
    <row r="382" spans="3:6" ht="15" customHeight="1" x14ac:dyDescent="0.25">
      <c r="C382" s="160"/>
      <c r="D382" s="160"/>
      <c r="E382" s="160"/>
      <c r="F382" s="160"/>
    </row>
    <row r="383" spans="3:6" ht="15" customHeight="1" x14ac:dyDescent="0.25">
      <c r="C383" s="160"/>
      <c r="D383" s="160"/>
      <c r="E383" s="160"/>
      <c r="F383" s="160"/>
    </row>
    <row r="384" spans="3:6" ht="15" customHeight="1" x14ac:dyDescent="0.25">
      <c r="C384" s="160"/>
      <c r="D384" s="160"/>
      <c r="E384" s="160"/>
      <c r="F384" s="160"/>
    </row>
    <row r="385" spans="3:6" ht="15" customHeight="1" x14ac:dyDescent="0.25">
      <c r="C385" s="160"/>
      <c r="D385" s="160"/>
      <c r="E385" s="160"/>
      <c r="F385" s="160"/>
    </row>
    <row r="386" spans="3:6" ht="15" customHeight="1" x14ac:dyDescent="0.25">
      <c r="C386" s="160"/>
      <c r="D386" s="160"/>
      <c r="E386" s="160"/>
      <c r="F386" s="160"/>
    </row>
    <row r="387" spans="3:6" ht="15" customHeight="1" x14ac:dyDescent="0.25">
      <c r="C387" s="160"/>
      <c r="D387" s="160"/>
      <c r="E387" s="160"/>
      <c r="F387" s="160"/>
    </row>
    <row r="388" spans="3:6" ht="15" customHeight="1" x14ac:dyDescent="0.25">
      <c r="C388" s="160"/>
      <c r="D388" s="160"/>
      <c r="E388" s="160"/>
      <c r="F388" s="160"/>
    </row>
    <row r="389" spans="3:6" ht="15" customHeight="1" x14ac:dyDescent="0.25">
      <c r="C389" s="160"/>
      <c r="D389" s="160"/>
      <c r="E389" s="160"/>
      <c r="F389" s="160"/>
    </row>
    <row r="390" spans="3:6" ht="15" customHeight="1" x14ac:dyDescent="0.25">
      <c r="C390" s="160"/>
      <c r="D390" s="160"/>
      <c r="E390" s="160"/>
      <c r="F390" s="160"/>
    </row>
    <row r="391" spans="3:6" ht="15" customHeight="1" x14ac:dyDescent="0.25">
      <c r="C391" s="160"/>
      <c r="D391" s="160"/>
      <c r="E391" s="160"/>
      <c r="F391" s="160"/>
    </row>
    <row r="392" spans="3:6" ht="15" customHeight="1" x14ac:dyDescent="0.25">
      <c r="C392" s="160"/>
      <c r="D392" s="160"/>
      <c r="E392" s="160"/>
      <c r="F392" s="160"/>
    </row>
    <row r="393" spans="3:6" ht="15" customHeight="1" x14ac:dyDescent="0.25">
      <c r="C393" s="160"/>
      <c r="D393" s="160"/>
      <c r="E393" s="160"/>
      <c r="F393" s="160"/>
    </row>
    <row r="394" spans="3:6" ht="15" customHeight="1" x14ac:dyDescent="0.25">
      <c r="C394" s="160"/>
      <c r="D394" s="160"/>
      <c r="E394" s="160"/>
      <c r="F394" s="160"/>
    </row>
    <row r="395" spans="3:6" ht="15" customHeight="1" x14ac:dyDescent="0.25">
      <c r="C395" s="160"/>
      <c r="D395" s="160"/>
      <c r="E395" s="160"/>
      <c r="F395" s="160"/>
    </row>
    <row r="396" spans="3:6" ht="15" customHeight="1" x14ac:dyDescent="0.25">
      <c r="C396" s="160"/>
      <c r="D396" s="160"/>
      <c r="E396" s="160"/>
      <c r="F396" s="160"/>
    </row>
    <row r="397" spans="3:6" ht="15" customHeight="1" x14ac:dyDescent="0.25">
      <c r="C397" s="160"/>
      <c r="D397" s="160"/>
      <c r="E397" s="160"/>
      <c r="F397" s="160"/>
    </row>
    <row r="398" spans="3:6" ht="15" customHeight="1" x14ac:dyDescent="0.25">
      <c r="C398" s="160"/>
      <c r="D398" s="160"/>
      <c r="E398" s="160"/>
      <c r="F398" s="160"/>
    </row>
    <row r="399" spans="3:6" ht="15" customHeight="1" x14ac:dyDescent="0.25">
      <c r="C399" s="160"/>
      <c r="D399" s="160"/>
      <c r="E399" s="160"/>
      <c r="F399" s="160"/>
    </row>
    <row r="400" spans="3:6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160"/>
    </row>
    <row r="885" spans="3:6" ht="15" customHeight="1" x14ac:dyDescent="0.25">
      <c r="C885" s="160"/>
      <c r="D885" s="160"/>
      <c r="E885" s="160"/>
      <c r="F885" s="160"/>
    </row>
    <row r="886" spans="3:6" ht="15" customHeight="1" x14ac:dyDescent="0.25">
      <c r="C886" s="160"/>
      <c r="D886" s="160"/>
      <c r="E886" s="160"/>
      <c r="F886" s="160"/>
    </row>
    <row r="887" spans="3:6" ht="15" customHeight="1" x14ac:dyDescent="0.25">
      <c r="C887" s="160"/>
      <c r="D887" s="160"/>
      <c r="E887" s="160"/>
      <c r="F887" s="160"/>
    </row>
    <row r="888" spans="3:6" ht="15" customHeight="1" x14ac:dyDescent="0.25">
      <c r="C888" s="160"/>
      <c r="D888" s="160"/>
      <c r="E888" s="160"/>
      <c r="F888" s="160"/>
    </row>
    <row r="889" spans="3:6" ht="15" customHeight="1" x14ac:dyDescent="0.25">
      <c r="C889" s="160"/>
      <c r="D889" s="160"/>
      <c r="E889" s="160"/>
      <c r="F889" s="160"/>
    </row>
    <row r="890" spans="3:6" ht="15" customHeight="1" x14ac:dyDescent="0.25">
      <c r="C890" s="160"/>
      <c r="D890" s="160"/>
      <c r="E890" s="160"/>
      <c r="F890" s="160"/>
    </row>
    <row r="891" spans="3:6" ht="15" customHeight="1" x14ac:dyDescent="0.25">
      <c r="C891" s="160"/>
      <c r="D891" s="160"/>
      <c r="E891" s="160"/>
      <c r="F891" s="160"/>
    </row>
    <row r="892" spans="3:6" ht="15" customHeight="1" x14ac:dyDescent="0.25">
      <c r="C892" s="160"/>
      <c r="D892" s="160"/>
      <c r="E892" s="160"/>
      <c r="F892" s="160"/>
    </row>
    <row r="893" spans="3:6" ht="15" customHeight="1" x14ac:dyDescent="0.25">
      <c r="C893" s="160"/>
      <c r="D893" s="160"/>
      <c r="E893" s="160"/>
      <c r="F893" s="160"/>
    </row>
    <row r="894" spans="3:6" ht="15" customHeight="1" x14ac:dyDescent="0.25">
      <c r="C894" s="160"/>
      <c r="D894" s="160"/>
      <c r="E894" s="160"/>
      <c r="F894" s="160"/>
    </row>
    <row r="895" spans="3:6" ht="15" customHeight="1" x14ac:dyDescent="0.25">
      <c r="C895" s="160"/>
      <c r="D895" s="160"/>
      <c r="E895" s="160"/>
      <c r="F895" s="160"/>
    </row>
    <row r="896" spans="3:6" ht="15" customHeight="1" x14ac:dyDescent="0.25">
      <c r="C896" s="160"/>
      <c r="D896" s="160"/>
      <c r="E896" s="160"/>
      <c r="F896" s="160"/>
    </row>
    <row r="897" spans="3:6" ht="15" customHeight="1" x14ac:dyDescent="0.25">
      <c r="C897" s="160"/>
      <c r="D897" s="160"/>
      <c r="E897" s="160"/>
      <c r="F897" s="160"/>
    </row>
    <row r="898" spans="3:6" ht="15" customHeight="1" x14ac:dyDescent="0.25">
      <c r="C898" s="160"/>
      <c r="D898" s="160"/>
      <c r="E898" s="160"/>
      <c r="F898" s="160"/>
    </row>
    <row r="899" spans="3:6" ht="15" customHeight="1" x14ac:dyDescent="0.25">
      <c r="C899" s="160"/>
      <c r="D899" s="160"/>
      <c r="E899" s="160"/>
      <c r="F899" s="160"/>
    </row>
    <row r="900" spans="3:6" ht="15" customHeight="1" x14ac:dyDescent="0.25">
      <c r="C900" s="160"/>
      <c r="D900" s="160"/>
      <c r="E900" s="160"/>
      <c r="F900" s="160"/>
    </row>
    <row r="901" spans="3:6" ht="15" customHeight="1" x14ac:dyDescent="0.25">
      <c r="C901" s="160"/>
      <c r="D901" s="160"/>
      <c r="E901" s="160"/>
      <c r="F901" s="160"/>
    </row>
    <row r="902" spans="3:6" ht="15" customHeight="1" x14ac:dyDescent="0.25">
      <c r="C902" s="160"/>
      <c r="D902" s="160"/>
      <c r="E902" s="160"/>
      <c r="F902" s="160"/>
    </row>
    <row r="903" spans="3:6" ht="15" customHeight="1" x14ac:dyDescent="0.25">
      <c r="C903" s="160"/>
      <c r="D903" s="160"/>
      <c r="E903" s="160"/>
      <c r="F903" s="160"/>
    </row>
    <row r="904" spans="3:6" ht="15" customHeight="1" x14ac:dyDescent="0.25">
      <c r="C904" s="160"/>
      <c r="D904" s="160"/>
      <c r="E904" s="160"/>
      <c r="F904" s="160"/>
    </row>
    <row r="905" spans="3:6" ht="15" customHeight="1" x14ac:dyDescent="0.25">
      <c r="C905" s="160"/>
      <c r="D905" s="160"/>
      <c r="E905" s="160"/>
      <c r="F905" s="160"/>
    </row>
    <row r="906" spans="3:6" ht="15" customHeight="1" x14ac:dyDescent="0.25">
      <c r="C906" s="160"/>
      <c r="D906" s="160"/>
      <c r="E906" s="160"/>
      <c r="F906" s="160"/>
    </row>
    <row r="907" spans="3:6" ht="15" customHeight="1" x14ac:dyDescent="0.25">
      <c r="C907" s="160"/>
      <c r="D907" s="160"/>
      <c r="E907" s="160"/>
      <c r="F907" s="160"/>
    </row>
    <row r="908" spans="3:6" ht="15" customHeight="1" x14ac:dyDescent="0.25">
      <c r="C908" s="160"/>
      <c r="D908" s="160"/>
      <c r="E908" s="160"/>
      <c r="F908" s="160"/>
    </row>
    <row r="909" spans="3:6" ht="15" customHeight="1" x14ac:dyDescent="0.25">
      <c r="C909" s="160"/>
      <c r="D909" s="160"/>
      <c r="E909" s="160"/>
      <c r="F909" s="160"/>
    </row>
    <row r="910" spans="3:6" ht="15" customHeight="1" x14ac:dyDescent="0.25">
      <c r="C910" s="160"/>
      <c r="D910" s="160"/>
      <c r="E910" s="160"/>
      <c r="F910" s="160"/>
    </row>
    <row r="911" spans="3:6" ht="15" customHeight="1" x14ac:dyDescent="0.25">
      <c r="C911" s="160"/>
      <c r="D911" s="160"/>
      <c r="E911" s="160"/>
      <c r="F911" s="160"/>
    </row>
    <row r="912" spans="3:6" ht="15" customHeight="1" x14ac:dyDescent="0.25">
      <c r="C912" s="160"/>
      <c r="D912" s="160"/>
      <c r="E912" s="160"/>
      <c r="F912" s="160"/>
    </row>
    <row r="913" spans="3:6" ht="15" customHeight="1" x14ac:dyDescent="0.25">
      <c r="C913" s="160"/>
      <c r="D913" s="160"/>
      <c r="E913" s="160"/>
      <c r="F913" s="160"/>
    </row>
    <row r="914" spans="3:6" ht="15" customHeight="1" x14ac:dyDescent="0.25">
      <c r="C914" s="160"/>
      <c r="D914" s="160"/>
      <c r="E914" s="160"/>
      <c r="F914" s="160"/>
    </row>
    <row r="915" spans="3:6" ht="15" customHeight="1" x14ac:dyDescent="0.25">
      <c r="C915" s="160"/>
      <c r="D915" s="160"/>
      <c r="E915" s="160"/>
      <c r="F915" s="160"/>
    </row>
    <row r="916" spans="3:6" ht="15" customHeight="1" x14ac:dyDescent="0.25">
      <c r="C916" s="160"/>
      <c r="D916" s="160"/>
      <c r="E916" s="160"/>
      <c r="F916" s="160"/>
    </row>
    <row r="917" spans="3:6" ht="15" customHeight="1" x14ac:dyDescent="0.25">
      <c r="C917" s="160"/>
      <c r="D917" s="160"/>
      <c r="E917" s="160"/>
      <c r="F917" s="160"/>
    </row>
    <row r="918" spans="3:6" ht="15" customHeight="1" x14ac:dyDescent="0.25">
      <c r="C918" s="160"/>
      <c r="D918" s="160"/>
      <c r="E918" s="160"/>
      <c r="F918" s="160"/>
    </row>
    <row r="919" spans="3:6" ht="15" customHeight="1" x14ac:dyDescent="0.25">
      <c r="C919" s="160"/>
      <c r="D919" s="160"/>
      <c r="E919" s="160"/>
      <c r="F919" s="160"/>
    </row>
    <row r="920" spans="3:6" ht="15" customHeight="1" x14ac:dyDescent="0.25">
      <c r="C920" s="160"/>
      <c r="D920" s="160"/>
      <c r="E920" s="160"/>
      <c r="F920" s="160"/>
    </row>
    <row r="921" spans="3:6" ht="15" customHeight="1" x14ac:dyDescent="0.25">
      <c r="C921" s="160"/>
      <c r="D921" s="160"/>
      <c r="E921" s="160"/>
      <c r="F921" s="160"/>
    </row>
    <row r="922" spans="3:6" ht="15" customHeight="1" x14ac:dyDescent="0.25">
      <c r="C922" s="160"/>
      <c r="D922" s="160"/>
      <c r="E922" s="160"/>
      <c r="F922" s="160"/>
    </row>
    <row r="923" spans="3:6" ht="15" customHeight="1" x14ac:dyDescent="0.25">
      <c r="C923" s="160"/>
      <c r="D923" s="160"/>
      <c r="E923" s="160"/>
      <c r="F923" s="160"/>
    </row>
    <row r="924" spans="3:6" ht="15" customHeight="1" x14ac:dyDescent="0.25">
      <c r="C924" s="160"/>
      <c r="D924" s="160"/>
      <c r="E924" s="160"/>
      <c r="F924" s="160"/>
    </row>
    <row r="925" spans="3:6" ht="15" customHeight="1" x14ac:dyDescent="0.25">
      <c r="C925" s="160"/>
      <c r="D925" s="160"/>
      <c r="E925" s="160"/>
      <c r="F925" s="160"/>
    </row>
    <row r="926" spans="3:6" ht="15" customHeight="1" x14ac:dyDescent="0.25">
      <c r="C926" s="160"/>
      <c r="D926" s="160"/>
      <c r="E926" s="160"/>
      <c r="F926" s="160"/>
    </row>
    <row r="927" spans="3:6" ht="15" customHeight="1" x14ac:dyDescent="0.25">
      <c r="C927" s="160"/>
      <c r="D927" s="160"/>
      <c r="E927" s="160"/>
      <c r="F927" s="160"/>
    </row>
    <row r="928" spans="3:6" ht="15" customHeight="1" x14ac:dyDescent="0.25">
      <c r="C928" s="160"/>
      <c r="D928" s="160"/>
      <c r="E928" s="160"/>
      <c r="F928" s="160"/>
    </row>
    <row r="929" spans="3:6" ht="15" customHeight="1" x14ac:dyDescent="0.25">
      <c r="C929" s="160"/>
      <c r="D929" s="160"/>
      <c r="E929" s="160"/>
      <c r="F929" s="160"/>
    </row>
    <row r="930" spans="3:6" ht="15" customHeight="1" x14ac:dyDescent="0.25">
      <c r="C930" s="160"/>
      <c r="D930" s="160"/>
      <c r="E930" s="160"/>
      <c r="F930" s="160"/>
    </row>
    <row r="931" spans="3:6" ht="15" customHeight="1" x14ac:dyDescent="0.25">
      <c r="C931" s="160"/>
      <c r="D931" s="160"/>
      <c r="E931" s="160"/>
      <c r="F931" s="160"/>
    </row>
    <row r="932" spans="3:6" ht="15" customHeight="1" x14ac:dyDescent="0.25">
      <c r="C932" s="160"/>
      <c r="D932" s="160"/>
      <c r="E932" s="160"/>
      <c r="F932" s="160"/>
    </row>
    <row r="933" spans="3:6" ht="15" customHeight="1" x14ac:dyDescent="0.25">
      <c r="C933" s="160"/>
      <c r="D933" s="160"/>
      <c r="E933" s="160"/>
      <c r="F933" s="160"/>
    </row>
    <row r="934" spans="3:6" ht="15" customHeight="1" x14ac:dyDescent="0.25">
      <c r="C934" s="160"/>
      <c r="D934" s="160"/>
      <c r="E934" s="160"/>
      <c r="F934" s="160"/>
    </row>
    <row r="935" spans="3:6" ht="15" customHeight="1" x14ac:dyDescent="0.25">
      <c r="C935" s="160"/>
      <c r="D935" s="160"/>
      <c r="E935" s="160"/>
      <c r="F935" s="160"/>
    </row>
    <row r="936" spans="3:6" ht="15" customHeight="1" x14ac:dyDescent="0.25">
      <c r="C936" s="160"/>
      <c r="D936" s="160"/>
      <c r="E936" s="160"/>
      <c r="F936" s="160"/>
    </row>
    <row r="937" spans="3:6" ht="15" customHeight="1" x14ac:dyDescent="0.25">
      <c r="C937" s="160"/>
      <c r="D937" s="160"/>
      <c r="E937" s="160"/>
      <c r="F937" s="160"/>
    </row>
    <row r="938" spans="3:6" ht="15" customHeight="1" x14ac:dyDescent="0.25">
      <c r="C938" s="160"/>
      <c r="D938" s="160"/>
      <c r="E938" s="160"/>
      <c r="F938" s="160"/>
    </row>
    <row r="939" spans="3:6" ht="15" customHeight="1" x14ac:dyDescent="0.25">
      <c r="C939" s="160"/>
      <c r="D939" s="160"/>
      <c r="E939" s="160"/>
      <c r="F939" s="160"/>
    </row>
    <row r="940" spans="3:6" ht="15" customHeight="1" x14ac:dyDescent="0.25">
      <c r="C940" s="160"/>
      <c r="D940" s="160"/>
      <c r="E940" s="160"/>
      <c r="F940" s="160"/>
    </row>
    <row r="941" spans="3:6" ht="15" customHeight="1" x14ac:dyDescent="0.25">
      <c r="C941" s="160"/>
      <c r="D941" s="160"/>
      <c r="E941" s="160"/>
      <c r="F941" s="160"/>
    </row>
    <row r="942" spans="3:6" ht="15" customHeight="1" x14ac:dyDescent="0.25">
      <c r="C942" s="160"/>
      <c r="D942" s="160"/>
      <c r="E942" s="160"/>
      <c r="F942" s="160"/>
    </row>
    <row r="943" spans="3:6" ht="15" customHeight="1" x14ac:dyDescent="0.25">
      <c r="C943" s="160"/>
      <c r="D943" s="160"/>
      <c r="E943" s="160"/>
      <c r="F943" s="160"/>
    </row>
    <row r="944" spans="3:6" ht="15" customHeight="1" x14ac:dyDescent="0.25">
      <c r="C944" s="160"/>
      <c r="D944" s="160"/>
      <c r="E944" s="160"/>
      <c r="F944" s="160"/>
    </row>
    <row r="945" spans="3:6" ht="15" customHeight="1" x14ac:dyDescent="0.25">
      <c r="C945" s="160"/>
      <c r="D945" s="160"/>
      <c r="E945" s="160"/>
      <c r="F945" s="160"/>
    </row>
    <row r="946" spans="3:6" ht="15" customHeight="1" x14ac:dyDescent="0.25">
      <c r="C946" s="160"/>
      <c r="D946" s="160"/>
      <c r="E946" s="160"/>
      <c r="F946" s="160"/>
    </row>
    <row r="947" spans="3:6" ht="15" customHeight="1" x14ac:dyDescent="0.25">
      <c r="C947" s="160"/>
      <c r="D947" s="160"/>
      <c r="E947" s="160"/>
      <c r="F947" s="160"/>
    </row>
    <row r="948" spans="3:6" ht="15" customHeight="1" x14ac:dyDescent="0.25">
      <c r="C948" s="160"/>
      <c r="D948" s="160"/>
      <c r="E948" s="160"/>
      <c r="F948" s="160"/>
    </row>
    <row r="949" spans="3:6" ht="15" customHeight="1" x14ac:dyDescent="0.25">
      <c r="C949" s="160"/>
      <c r="D949" s="160"/>
      <c r="E949" s="160"/>
      <c r="F949" s="160"/>
    </row>
    <row r="950" spans="3:6" ht="15" customHeight="1" x14ac:dyDescent="0.25">
      <c r="C950" s="160"/>
      <c r="D950" s="160"/>
      <c r="E950" s="160"/>
      <c r="F950" s="160"/>
    </row>
    <row r="951" spans="3:6" ht="15" customHeight="1" x14ac:dyDescent="0.25">
      <c r="C951" s="160"/>
      <c r="D951" s="160"/>
      <c r="E951" s="160"/>
      <c r="F951" s="160"/>
    </row>
    <row r="952" spans="3:6" ht="15" customHeight="1" x14ac:dyDescent="0.25">
      <c r="C952" s="160"/>
      <c r="D952" s="160"/>
      <c r="E952" s="160"/>
      <c r="F952" s="160"/>
    </row>
    <row r="953" spans="3:6" ht="15" customHeight="1" x14ac:dyDescent="0.25">
      <c r="C953" s="160"/>
      <c r="D953" s="160"/>
      <c r="E953" s="160"/>
      <c r="F953" s="160"/>
    </row>
    <row r="954" spans="3:6" ht="15" customHeight="1" x14ac:dyDescent="0.25">
      <c r="C954" s="160"/>
      <c r="D954" s="160"/>
      <c r="E954" s="160"/>
      <c r="F954" s="160"/>
    </row>
    <row r="955" spans="3:6" ht="15" customHeight="1" x14ac:dyDescent="0.25">
      <c r="C955" s="160"/>
      <c r="D955" s="160"/>
      <c r="E955" s="160"/>
      <c r="F955" s="160"/>
    </row>
    <row r="956" spans="3:6" ht="15" customHeight="1" x14ac:dyDescent="0.25">
      <c r="C956" s="160"/>
      <c r="D956" s="160"/>
      <c r="E956" s="160"/>
      <c r="F956" s="160"/>
    </row>
    <row r="957" spans="3:6" ht="15" customHeight="1" x14ac:dyDescent="0.25">
      <c r="C957" s="160"/>
      <c r="D957" s="160"/>
      <c r="E957" s="160"/>
      <c r="F957" s="160"/>
    </row>
    <row r="958" spans="3:6" ht="15" customHeight="1" x14ac:dyDescent="0.25">
      <c r="C958" s="160"/>
      <c r="D958" s="160"/>
      <c r="E958" s="160"/>
      <c r="F958" s="160"/>
    </row>
    <row r="959" spans="3:6" ht="15" customHeight="1" x14ac:dyDescent="0.25">
      <c r="C959" s="160"/>
      <c r="D959" s="160"/>
      <c r="E959" s="160"/>
      <c r="F959" s="160"/>
    </row>
    <row r="960" spans="3:6" ht="15" customHeight="1" x14ac:dyDescent="0.25">
      <c r="C960" s="160"/>
      <c r="D960" s="160"/>
      <c r="E960" s="160"/>
      <c r="F960" s="160"/>
    </row>
    <row r="961" spans="3:6" ht="15" customHeight="1" x14ac:dyDescent="0.25">
      <c r="C961" s="160"/>
      <c r="D961" s="160"/>
      <c r="E961" s="160"/>
      <c r="F961" s="160"/>
    </row>
    <row r="962" spans="3:6" ht="15" customHeight="1" x14ac:dyDescent="0.25">
      <c r="C962" s="160"/>
      <c r="D962" s="160"/>
      <c r="E962" s="160"/>
      <c r="F962" s="160"/>
    </row>
    <row r="963" spans="3:6" ht="15" customHeight="1" x14ac:dyDescent="0.25">
      <c r="C963" s="160"/>
      <c r="D963" s="160"/>
      <c r="E963" s="160"/>
      <c r="F963" s="160"/>
    </row>
    <row r="964" spans="3:6" ht="15" customHeight="1" x14ac:dyDescent="0.25">
      <c r="C964" s="160"/>
      <c r="D964" s="160"/>
      <c r="E964" s="160"/>
      <c r="F964" s="160"/>
    </row>
    <row r="965" spans="3:6" ht="15" customHeight="1" x14ac:dyDescent="0.25">
      <c r="C965" s="160"/>
      <c r="D965" s="160"/>
      <c r="E965" s="160"/>
      <c r="F965" s="160"/>
    </row>
    <row r="966" spans="3:6" ht="15" customHeight="1" x14ac:dyDescent="0.25">
      <c r="C966" s="160"/>
      <c r="D966" s="160"/>
      <c r="E966" s="160"/>
      <c r="F966" s="160"/>
    </row>
    <row r="967" spans="3:6" ht="15" customHeight="1" x14ac:dyDescent="0.25">
      <c r="C967" s="160"/>
      <c r="D967" s="160"/>
      <c r="E967" s="160"/>
      <c r="F967" s="160"/>
    </row>
    <row r="968" spans="3:6" ht="15" customHeight="1" x14ac:dyDescent="0.25">
      <c r="C968" s="160"/>
      <c r="D968" s="160"/>
      <c r="E968" s="160"/>
      <c r="F968" s="160"/>
    </row>
    <row r="969" spans="3:6" ht="15" customHeight="1" x14ac:dyDescent="0.25">
      <c r="C969" s="160"/>
      <c r="D969" s="160"/>
      <c r="E969" s="160"/>
      <c r="F969" s="160"/>
    </row>
    <row r="970" spans="3:6" ht="15" customHeight="1" x14ac:dyDescent="0.25">
      <c r="C970" s="160"/>
      <c r="D970" s="160"/>
      <c r="E970" s="160"/>
      <c r="F970" s="160"/>
    </row>
    <row r="971" spans="3:6" ht="15" customHeight="1" x14ac:dyDescent="0.25">
      <c r="C971" s="160"/>
      <c r="D971" s="160"/>
      <c r="E971" s="160"/>
      <c r="F971" s="160"/>
    </row>
    <row r="972" spans="3:6" ht="15" customHeight="1" x14ac:dyDescent="0.25">
      <c r="C972" s="160"/>
      <c r="D972" s="160"/>
      <c r="E972" s="160"/>
      <c r="F972" s="160"/>
    </row>
    <row r="973" spans="3:6" ht="15" customHeight="1" x14ac:dyDescent="0.25">
      <c r="C973" s="160"/>
      <c r="D973" s="160"/>
      <c r="E973" s="160"/>
      <c r="F973" s="160"/>
    </row>
    <row r="974" spans="3:6" ht="15" customHeight="1" x14ac:dyDescent="0.25">
      <c r="C974" s="160"/>
      <c r="D974" s="160"/>
      <c r="E974" s="160"/>
      <c r="F974" s="160"/>
    </row>
    <row r="975" spans="3:6" ht="15" customHeight="1" x14ac:dyDescent="0.25">
      <c r="C975" s="160"/>
      <c r="D975" s="160"/>
      <c r="E975" s="160"/>
      <c r="F975" s="160"/>
    </row>
    <row r="976" spans="3:6" ht="15" customHeight="1" x14ac:dyDescent="0.25">
      <c r="C976" s="160"/>
      <c r="D976" s="160"/>
      <c r="E976" s="160"/>
      <c r="F976" s="160"/>
    </row>
    <row r="977" spans="3:6" ht="15" customHeight="1" x14ac:dyDescent="0.25">
      <c r="C977" s="160"/>
      <c r="D977" s="160"/>
      <c r="E977" s="160"/>
      <c r="F977" s="160"/>
    </row>
    <row r="978" spans="3:6" ht="15" customHeight="1" x14ac:dyDescent="0.25">
      <c r="C978" s="160"/>
      <c r="D978" s="160"/>
      <c r="E978" s="160"/>
      <c r="F978" s="160"/>
    </row>
    <row r="979" spans="3:6" ht="15" customHeight="1" x14ac:dyDescent="0.25">
      <c r="C979" s="160"/>
      <c r="D979" s="160"/>
      <c r="E979" s="160"/>
      <c r="F979" s="160"/>
    </row>
    <row r="980" spans="3:6" ht="15" customHeight="1" x14ac:dyDescent="0.25">
      <c r="C980" s="160"/>
      <c r="D980" s="160"/>
      <c r="E980" s="160"/>
      <c r="F980" s="160"/>
    </row>
    <row r="981" spans="3:6" ht="15" customHeight="1" x14ac:dyDescent="0.25">
      <c r="C981" s="160"/>
      <c r="D981" s="160"/>
      <c r="E981" s="160"/>
      <c r="F981" s="160"/>
    </row>
    <row r="982" spans="3:6" ht="15" customHeight="1" x14ac:dyDescent="0.25">
      <c r="C982" s="160"/>
      <c r="D982" s="160"/>
      <c r="E982" s="160"/>
      <c r="F982" s="160"/>
    </row>
    <row r="983" spans="3:6" ht="15" customHeight="1" x14ac:dyDescent="0.25">
      <c r="C983" s="160"/>
      <c r="D983" s="160"/>
      <c r="E983" s="160"/>
      <c r="F983" s="160"/>
    </row>
    <row r="984" spans="3:6" ht="15" customHeight="1" x14ac:dyDescent="0.25">
      <c r="C984" s="160"/>
      <c r="D984" s="160"/>
      <c r="E984" s="160"/>
      <c r="F984" s="160"/>
    </row>
    <row r="985" spans="3:6" ht="15" customHeight="1" x14ac:dyDescent="0.25">
      <c r="C985" s="160"/>
      <c r="D985" s="160"/>
      <c r="E985" s="160"/>
      <c r="F985" s="160"/>
    </row>
    <row r="986" spans="3:6" ht="15" customHeight="1" x14ac:dyDescent="0.25">
      <c r="C986" s="160"/>
      <c r="D986" s="160"/>
      <c r="E986" s="160"/>
      <c r="F986" s="160"/>
    </row>
    <row r="987" spans="3:6" ht="15" customHeight="1" x14ac:dyDescent="0.25">
      <c r="C987" s="160"/>
      <c r="D987" s="160"/>
      <c r="E987" s="160"/>
      <c r="F987" s="160"/>
    </row>
    <row r="988" spans="3:6" ht="15" customHeight="1" x14ac:dyDescent="0.25">
      <c r="C988" s="160"/>
      <c r="D988" s="160"/>
      <c r="E988" s="160"/>
      <c r="F988" s="160"/>
    </row>
    <row r="989" spans="3:6" ht="15" customHeight="1" x14ac:dyDescent="0.25">
      <c r="C989" s="160"/>
      <c r="D989" s="160"/>
      <c r="E989" s="160"/>
      <c r="F989" s="160"/>
    </row>
    <row r="990" spans="3:6" ht="15" customHeight="1" x14ac:dyDescent="0.25">
      <c r="C990" s="160"/>
      <c r="D990" s="160"/>
      <c r="E990" s="160"/>
      <c r="F990" s="160"/>
    </row>
    <row r="991" spans="3:6" ht="15" customHeight="1" x14ac:dyDescent="0.25">
      <c r="C991" s="160"/>
      <c r="D991" s="160"/>
      <c r="E991" s="160"/>
      <c r="F991" s="160"/>
    </row>
    <row r="992" spans="3:6" ht="15" customHeight="1" x14ac:dyDescent="0.25">
      <c r="C992" s="160"/>
      <c r="D992" s="160"/>
      <c r="E992" s="160"/>
      <c r="F992" s="160"/>
    </row>
    <row r="993" spans="3:6" ht="15" customHeight="1" x14ac:dyDescent="0.25">
      <c r="C993" s="160"/>
      <c r="D993" s="160"/>
      <c r="E993" s="160"/>
      <c r="F993" s="160"/>
    </row>
    <row r="994" spans="3:6" ht="15" customHeight="1" x14ac:dyDescent="0.25">
      <c r="C994" s="160"/>
      <c r="D994" s="160"/>
      <c r="E994" s="160"/>
      <c r="F994" s="160"/>
    </row>
    <row r="995" spans="3:6" ht="15" customHeight="1" x14ac:dyDescent="0.25">
      <c r="C995" s="160"/>
      <c r="D995" s="160"/>
      <c r="E995" s="160"/>
      <c r="F995" s="160"/>
    </row>
    <row r="996" spans="3:6" ht="15" customHeight="1" x14ac:dyDescent="0.25">
      <c r="C996" s="160"/>
      <c r="D996" s="160"/>
      <c r="E996" s="160"/>
      <c r="F996" s="160"/>
    </row>
    <row r="997" spans="3:6" ht="15" customHeight="1" x14ac:dyDescent="0.25">
      <c r="C997" s="160"/>
      <c r="D997" s="160"/>
      <c r="E997" s="160"/>
      <c r="F997" s="160"/>
    </row>
    <row r="998" spans="3:6" ht="15" customHeight="1" x14ac:dyDescent="0.25">
      <c r="C998" s="160"/>
      <c r="D998" s="160"/>
      <c r="E998" s="160"/>
      <c r="F998" s="160"/>
    </row>
    <row r="999" spans="3:6" ht="15" customHeight="1" x14ac:dyDescent="0.25">
      <c r="C999" s="160"/>
      <c r="D999" s="160"/>
      <c r="E999" s="160"/>
      <c r="F999" s="160"/>
    </row>
    <row r="1000" spans="3:6" ht="15" customHeight="1" x14ac:dyDescent="0.25">
      <c r="C1000" s="160"/>
      <c r="D1000" s="160"/>
      <c r="E1000" s="160"/>
      <c r="F1000" s="160"/>
    </row>
    <row r="1001" spans="3:6" ht="15" customHeight="1" x14ac:dyDescent="0.25">
      <c r="F1001" s="77"/>
    </row>
    <row r="1002" spans="3:6" ht="15" customHeight="1" x14ac:dyDescent="0.25">
      <c r="F1002" s="77"/>
    </row>
    <row r="1003" spans="3:6" ht="15" customHeight="1" x14ac:dyDescent="0.25">
      <c r="F1003" s="77"/>
    </row>
    <row r="1004" spans="3:6" ht="15" customHeight="1" x14ac:dyDescent="0.25">
      <c r="F1004" s="77"/>
    </row>
    <row r="1005" spans="3:6" ht="15" customHeight="1" x14ac:dyDescent="0.25">
      <c r="F1005" s="77"/>
    </row>
    <row r="1006" spans="3:6" ht="15" customHeight="1" x14ac:dyDescent="0.25">
      <c r="F1006" s="77"/>
    </row>
    <row r="1007" spans="3:6" ht="15" customHeight="1" x14ac:dyDescent="0.25">
      <c r="F1007" s="77"/>
    </row>
    <row r="1008" spans="3:6" ht="15" customHeight="1" x14ac:dyDescent="0.25">
      <c r="F1008" s="77"/>
    </row>
    <row r="1009" spans="6:6" ht="15" customHeight="1" x14ac:dyDescent="0.25">
      <c r="F1009" s="77"/>
    </row>
    <row r="1010" spans="6:6" ht="15" customHeight="1" x14ac:dyDescent="0.25">
      <c r="F1010" s="77"/>
    </row>
  </sheetData>
  <sheetProtection algorithmName="SHA-512" hashValue="N0A/LJpFASUZJ89YBws32eDR7PXaJ2JCjB60gAnylhIIhfjJjmuo3WhJjgNpbt7SZ7UDHlK6AHiBO9wad7YreA==" saltValue="nDH2VuQIrUGJt72jBHPBRg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T1015"/>
  <sheetViews>
    <sheetView showGridLines="0" zoomScaleNormal="100" workbookViewId="0"/>
  </sheetViews>
  <sheetFormatPr defaultColWidth="0" defaultRowHeight="15" customHeight="1" x14ac:dyDescent="0.25"/>
  <cols>
    <col min="1" max="1" width="36.42578125" customWidth="1"/>
    <col min="2" max="2" width="62.85546875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8" width="15.7109375" customWidth="1"/>
    <col min="9" max="9" width="65.42578125" customWidth="1"/>
    <col min="10" max="20" width="0" style="10" hidden="1" customWidth="1"/>
    <col min="21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344" t="s">
        <v>757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C4" s="160"/>
      <c r="D4" s="160"/>
      <c r="E4" s="160"/>
      <c r="F4" s="160"/>
    </row>
    <row r="5" spans="1:15" ht="15" customHeight="1" x14ac:dyDescent="0.25">
      <c r="A5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20" t="s">
        <v>758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64"/>
      <c r="D6" s="164"/>
      <c r="E6" s="164"/>
      <c r="F6" s="164"/>
      <c r="G6" s="47"/>
      <c r="H6" s="47"/>
      <c r="I6" s="47"/>
    </row>
    <row r="7" spans="1:15" ht="15" customHeight="1" x14ac:dyDescent="0.25">
      <c r="A7" s="159" t="s">
        <v>24</v>
      </c>
      <c r="B7" s="167" t="s">
        <v>15</v>
      </c>
      <c r="C7" s="168">
        <f>194722.170397455-310.407620404787</f>
        <v>194411.7627770502</v>
      </c>
      <c r="D7" s="165">
        <v>97816.364626368275</v>
      </c>
      <c r="E7" s="165">
        <v>95848.745720711813</v>
      </c>
      <c r="F7" s="165">
        <v>88353.717571245201</v>
      </c>
      <c r="G7" s="94">
        <f t="shared" ref="G7:G38" si="0">IF(ISERROR(C7- D7)=TRUE,"",C7 - D7)</f>
        <v>96595.398150681925</v>
      </c>
      <c r="H7" s="91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98,8%▲</v>
      </c>
      <c r="I7" s="106"/>
      <c r="J7" s="154"/>
      <c r="K7" s="154"/>
      <c r="L7" s="154"/>
      <c r="M7" s="154"/>
      <c r="N7" s="154"/>
      <c r="O7" s="154"/>
    </row>
    <row r="8" spans="1:15" ht="15" customHeight="1" x14ac:dyDescent="0.25">
      <c r="A8" s="159" t="s">
        <v>24</v>
      </c>
      <c r="B8" s="163" t="s">
        <v>754</v>
      </c>
      <c r="C8" s="169"/>
      <c r="D8" s="166">
        <v>568748.75627076521</v>
      </c>
      <c r="E8" s="166">
        <v>670230.21868868254</v>
      </c>
      <c r="F8" s="166">
        <v>630223.67978659563</v>
      </c>
      <c r="G8" s="96">
        <f t="shared" si="0"/>
        <v>-568748.75627076521</v>
      </c>
      <c r="H8" s="92" t="str">
        <f t="shared" si="1"/>
        <v>-100,0%▼</v>
      </c>
      <c r="I8" s="93"/>
      <c r="J8" s="154"/>
      <c r="K8" s="154"/>
      <c r="L8" s="154"/>
      <c r="M8" s="154"/>
      <c r="N8" s="154"/>
      <c r="O8" s="154"/>
    </row>
    <row r="9" spans="1:15" ht="15" customHeight="1" x14ac:dyDescent="0.25">
      <c r="A9" s="159" t="s">
        <v>24</v>
      </c>
      <c r="B9" s="167" t="s">
        <v>16</v>
      </c>
      <c r="C9" s="168"/>
      <c r="D9" s="165"/>
      <c r="E9" s="165"/>
      <c r="F9" s="165"/>
      <c r="G9" s="94">
        <f t="shared" si="0"/>
        <v>0</v>
      </c>
      <c r="H9" s="91" t="str">
        <f t="shared" si="1"/>
        <v/>
      </c>
      <c r="I9" s="106"/>
      <c r="J9" s="154"/>
      <c r="K9" s="154"/>
      <c r="L9" s="154"/>
      <c r="M9" s="154"/>
      <c r="N9" s="154"/>
      <c r="O9" s="154"/>
    </row>
    <row r="10" spans="1:15" ht="15" customHeight="1" x14ac:dyDescent="0.25">
      <c r="A10" s="159" t="s">
        <v>24</v>
      </c>
      <c r="B10" s="163" t="s">
        <v>755</v>
      </c>
      <c r="C10" s="169">
        <v>58079.341241935203</v>
      </c>
      <c r="D10" s="166"/>
      <c r="E10" s="166"/>
      <c r="F10" s="166"/>
      <c r="G10" s="96">
        <f t="shared" si="0"/>
        <v>58079.341241935203</v>
      </c>
      <c r="H10" s="92" t="str">
        <f t="shared" si="1"/>
        <v/>
      </c>
      <c r="I10" s="93"/>
      <c r="J10" s="154"/>
      <c r="K10" s="154"/>
      <c r="L10" s="154"/>
      <c r="M10" s="154"/>
      <c r="N10" s="154"/>
      <c r="O10" s="154"/>
    </row>
    <row r="11" spans="1:15" ht="15" customHeight="1" x14ac:dyDescent="0.25">
      <c r="A11" s="159" t="s">
        <v>24</v>
      </c>
      <c r="B11" s="167" t="s">
        <v>756</v>
      </c>
      <c r="C11" s="168"/>
      <c r="D11" s="165"/>
      <c r="E11" s="165"/>
      <c r="F11" s="165"/>
      <c r="G11" s="94">
        <f t="shared" si="0"/>
        <v>0</v>
      </c>
      <c r="H11" s="91" t="str">
        <f t="shared" si="1"/>
        <v/>
      </c>
      <c r="I11" s="106"/>
      <c r="J11" s="154"/>
      <c r="K11" s="154"/>
      <c r="L11" s="154"/>
      <c r="M11" s="154"/>
      <c r="N11" s="154"/>
      <c r="O11" s="154"/>
    </row>
    <row r="12" spans="1:15" ht="15" customHeight="1" x14ac:dyDescent="0.25">
      <c r="A12" s="104" t="s">
        <v>24</v>
      </c>
      <c r="B12" s="86" t="s">
        <v>8</v>
      </c>
      <c r="C12" s="64">
        <f>SUMIFS((C7:C11),(A7:A11),A12)</f>
        <v>252491.10401898541</v>
      </c>
      <c r="D12" s="64">
        <f>SUMIFS((D7:D11),(A7:A11),A12)</f>
        <v>666565.12089713349</v>
      </c>
      <c r="E12" s="64">
        <f>SUMIFS((E7:E11),(A7:A11),A12)</f>
        <v>766078.96440939431</v>
      </c>
      <c r="F12" s="64">
        <f>SUMIFS((F7:F11),(A7:A11),A12)</f>
        <v>718577.39735784079</v>
      </c>
      <c r="G12" s="101">
        <f t="shared" si="0"/>
        <v>-414074.01687814808</v>
      </c>
      <c r="H12" s="87" t="str">
        <f t="shared" si="1"/>
        <v>-62,1%▼</v>
      </c>
      <c r="I12" s="93"/>
      <c r="J12" s="154"/>
      <c r="K12" s="154"/>
      <c r="L12" s="154"/>
      <c r="M12" s="154"/>
      <c r="N12" s="154"/>
      <c r="O12" s="154"/>
    </row>
    <row r="13" spans="1:15" ht="15" customHeight="1" x14ac:dyDescent="0.25">
      <c r="A13" s="27" t="s">
        <v>47</v>
      </c>
      <c r="B13" s="55"/>
      <c r="C13" s="69"/>
      <c r="D13" s="69"/>
      <c r="E13" s="69"/>
      <c r="F13" s="69"/>
      <c r="G13" s="94">
        <f t="shared" si="0"/>
        <v>0</v>
      </c>
      <c r="H13" s="91" t="str">
        <f t="shared" si="1"/>
        <v/>
      </c>
      <c r="I13" s="56"/>
    </row>
    <row r="14" spans="1:15" ht="15" customHeight="1" x14ac:dyDescent="0.25">
      <c r="A14" s="159" t="s">
        <v>47</v>
      </c>
      <c r="B14" s="163" t="s">
        <v>15</v>
      </c>
      <c r="C14" s="169">
        <f>52696.1136698102-84.0031477434667</f>
        <v>52612.11052206673</v>
      </c>
      <c r="D14" s="166">
        <v>25202.861872152233</v>
      </c>
      <c r="E14" s="166">
        <v>25443.204671387713</v>
      </c>
      <c r="F14" s="166">
        <v>23518.232672451661</v>
      </c>
      <c r="G14" s="96">
        <f t="shared" si="0"/>
        <v>27409.248649914498</v>
      </c>
      <c r="H14" s="92" t="str">
        <f t="shared" si="1"/>
        <v>108,8%▲</v>
      </c>
      <c r="I14" s="93"/>
      <c r="J14" s="154"/>
      <c r="K14" s="154"/>
      <c r="L14" s="154"/>
      <c r="M14" s="154"/>
      <c r="N14" s="154"/>
      <c r="O14" s="154"/>
    </row>
    <row r="15" spans="1:15" ht="15" customHeight="1" x14ac:dyDescent="0.25">
      <c r="A15" s="159" t="s">
        <v>47</v>
      </c>
      <c r="B15" s="167" t="s">
        <v>754</v>
      </c>
      <c r="C15" s="168"/>
      <c r="D15" s="165">
        <v>146540.88197821286</v>
      </c>
      <c r="E15" s="165">
        <v>177913.69623901276</v>
      </c>
      <c r="F15" s="165">
        <v>167754.65191895422</v>
      </c>
      <c r="G15" s="94">
        <f t="shared" si="0"/>
        <v>-146540.88197821286</v>
      </c>
      <c r="H15" s="91" t="str">
        <f t="shared" si="1"/>
        <v>-100,0%▼</v>
      </c>
      <c r="I15" s="106"/>
      <c r="J15" s="154"/>
      <c r="K15" s="154"/>
      <c r="L15" s="154"/>
      <c r="M15" s="154"/>
      <c r="N15" s="154"/>
      <c r="O15" s="154"/>
    </row>
    <row r="16" spans="1:15" ht="15" customHeight="1" x14ac:dyDescent="0.25">
      <c r="A16" s="159" t="s">
        <v>47</v>
      </c>
      <c r="B16" s="163" t="s">
        <v>16</v>
      </c>
      <c r="C16" s="169"/>
      <c r="D16" s="166"/>
      <c r="E16" s="166"/>
      <c r="F16" s="166"/>
      <c r="G16" s="96">
        <f t="shared" si="0"/>
        <v>0</v>
      </c>
      <c r="H16" s="92" t="str">
        <f t="shared" si="1"/>
        <v/>
      </c>
      <c r="I16" s="93"/>
      <c r="J16" s="154"/>
      <c r="K16" s="154"/>
      <c r="L16" s="154"/>
      <c r="M16" s="154"/>
      <c r="N16" s="154"/>
      <c r="O16" s="154"/>
    </row>
    <row r="17" spans="1:15" ht="15" customHeight="1" x14ac:dyDescent="0.25">
      <c r="A17" s="159" t="s">
        <v>47</v>
      </c>
      <c r="B17" s="167" t="s">
        <v>755</v>
      </c>
      <c r="C17" s="168">
        <v>15717.550609186865</v>
      </c>
      <c r="D17" s="165"/>
      <c r="E17" s="165"/>
      <c r="F17" s="165"/>
      <c r="G17" s="94">
        <f t="shared" si="0"/>
        <v>15717.550609186865</v>
      </c>
      <c r="H17" s="91" t="str">
        <f t="shared" si="1"/>
        <v/>
      </c>
      <c r="I17" s="106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47</v>
      </c>
      <c r="B18" s="163" t="s">
        <v>756</v>
      </c>
      <c r="C18" s="169"/>
      <c r="D18" s="166"/>
      <c r="E18" s="166"/>
      <c r="F18" s="166"/>
      <c r="G18" s="96">
        <f t="shared" si="0"/>
        <v>0</v>
      </c>
      <c r="H18" s="92" t="str">
        <f t="shared" si="1"/>
        <v/>
      </c>
      <c r="I18" s="93"/>
      <c r="J18" s="154"/>
      <c r="K18" s="154"/>
      <c r="L18" s="154"/>
      <c r="M18" s="154"/>
      <c r="N18" s="154"/>
      <c r="O18" s="154"/>
    </row>
    <row r="19" spans="1:15" s="40" customFormat="1" ht="15" customHeight="1" x14ac:dyDescent="0.25">
      <c r="A19" s="104" t="s">
        <v>47</v>
      </c>
      <c r="B19" s="107" t="s">
        <v>8</v>
      </c>
      <c r="C19" s="63">
        <f>SUMIFS((C7:C18),(A7:A18),A19)</f>
        <v>68329.661131253597</v>
      </c>
      <c r="D19" s="63">
        <f>SUMIFS((D7:D18),(A7:A18),A19)</f>
        <v>171743.74385036508</v>
      </c>
      <c r="E19" s="63">
        <f>SUMIFS((E7:E18),(A7:A18),A19)</f>
        <v>203356.90091040047</v>
      </c>
      <c r="F19" s="63">
        <f>SUMIFS((F7:F18),(A7:A18),A19)</f>
        <v>191272.88459140586</v>
      </c>
      <c r="G19" s="97">
        <f t="shared" si="0"/>
        <v>-103414.08271911148</v>
      </c>
      <c r="H19" s="85" t="str">
        <f t="shared" si="1"/>
        <v>-60,2%▼</v>
      </c>
      <c r="I19" s="106"/>
      <c r="J19" s="39"/>
      <c r="K19" s="39"/>
      <c r="L19" s="39"/>
      <c r="M19" s="39"/>
      <c r="N19" s="39"/>
      <c r="O19" s="39"/>
    </row>
    <row r="20" spans="1:15" s="40" customFormat="1" ht="15" customHeight="1" x14ac:dyDescent="0.25">
      <c r="A20" s="27" t="s">
        <v>48</v>
      </c>
      <c r="B20" s="49"/>
      <c r="C20" s="98"/>
      <c r="D20" s="98"/>
      <c r="E20" s="98"/>
      <c r="F20" s="98"/>
      <c r="G20" s="96">
        <f t="shared" si="0"/>
        <v>0</v>
      </c>
      <c r="H20" s="92" t="str">
        <f t="shared" si="1"/>
        <v/>
      </c>
      <c r="I20" s="47"/>
    </row>
    <row r="21" spans="1:15" s="40" customFormat="1" ht="15" customHeight="1" x14ac:dyDescent="0.25">
      <c r="A21" s="159" t="s">
        <v>48</v>
      </c>
      <c r="B21" s="167" t="s">
        <v>15</v>
      </c>
      <c r="C21" s="168">
        <f>66846.2630883983-106.559974223116</f>
        <v>66739.70311417518</v>
      </c>
      <c r="D21" s="165">
        <v>32166.194427073737</v>
      </c>
      <c r="E21" s="165">
        <v>31687.508182990005</v>
      </c>
      <c r="F21" s="165">
        <v>29790.329890884674</v>
      </c>
      <c r="G21" s="94">
        <f t="shared" si="0"/>
        <v>34573.508687101443</v>
      </c>
      <c r="H21" s="91" t="str">
        <f t="shared" si="1"/>
        <v>107,5%▲</v>
      </c>
      <c r="I21" s="106"/>
      <c r="J21" s="39"/>
      <c r="K21" s="39"/>
      <c r="L21" s="39"/>
      <c r="M21" s="39"/>
      <c r="N21" s="39"/>
      <c r="O21" s="39"/>
    </row>
    <row r="22" spans="1:15" s="40" customFormat="1" ht="15" customHeight="1" x14ac:dyDescent="0.25">
      <c r="A22" s="159" t="s">
        <v>48</v>
      </c>
      <c r="B22" s="163" t="s">
        <v>754</v>
      </c>
      <c r="C22" s="169"/>
      <c r="D22" s="166">
        <v>187028.85906915186</v>
      </c>
      <c r="E22" s="166">
        <v>221577.50087902858</v>
      </c>
      <c r="F22" s="166">
        <v>212493.2808939344</v>
      </c>
      <c r="G22" s="96">
        <f t="shared" si="0"/>
        <v>-187028.85906915186</v>
      </c>
      <c r="H22" s="92" t="str">
        <f t="shared" si="1"/>
        <v>-100,0%▼</v>
      </c>
      <c r="I22" s="93"/>
      <c r="J22" s="39"/>
      <c r="K22" s="39"/>
      <c r="L22" s="39"/>
      <c r="M22" s="39"/>
      <c r="N22" s="39"/>
      <c r="O22" s="39"/>
    </row>
    <row r="23" spans="1:15" s="40" customFormat="1" ht="15" customHeight="1" x14ac:dyDescent="0.25">
      <c r="A23" s="159" t="s">
        <v>48</v>
      </c>
      <c r="B23" s="167" t="s">
        <v>16</v>
      </c>
      <c r="C23" s="168"/>
      <c r="D23" s="165"/>
      <c r="E23" s="165"/>
      <c r="F23" s="165"/>
      <c r="G23" s="94">
        <f t="shared" si="0"/>
        <v>0</v>
      </c>
      <c r="H23" s="91" t="str">
        <f t="shared" si="1"/>
        <v/>
      </c>
      <c r="I23" s="106"/>
      <c r="J23" s="39"/>
      <c r="K23" s="39"/>
      <c r="L23" s="39"/>
      <c r="M23" s="39"/>
      <c r="N23" s="39"/>
      <c r="O23" s="39"/>
    </row>
    <row r="24" spans="1:15" s="40" customFormat="1" ht="15" customHeight="1" x14ac:dyDescent="0.25">
      <c r="A24" s="159" t="s">
        <v>48</v>
      </c>
      <c r="B24" s="163" t="s">
        <v>755</v>
      </c>
      <c r="C24" s="282">
        <v>19938.083664200989</v>
      </c>
      <c r="D24" s="166"/>
      <c r="E24" s="166"/>
      <c r="F24" s="166"/>
      <c r="G24" s="96">
        <f t="shared" si="0"/>
        <v>19938.083664200989</v>
      </c>
      <c r="H24" s="92" t="str">
        <f t="shared" si="1"/>
        <v/>
      </c>
      <c r="I24" s="93"/>
      <c r="J24" s="39"/>
      <c r="K24" s="39"/>
      <c r="L24" s="39"/>
      <c r="M24" s="39"/>
      <c r="N24" s="39"/>
      <c r="O24" s="39"/>
    </row>
    <row r="25" spans="1:15" s="40" customFormat="1" ht="15" customHeight="1" x14ac:dyDescent="0.25">
      <c r="A25" s="159" t="s">
        <v>48</v>
      </c>
      <c r="B25" s="167" t="s">
        <v>756</v>
      </c>
      <c r="C25" s="168"/>
      <c r="D25" s="165"/>
      <c r="E25" s="165"/>
      <c r="F25" s="165"/>
      <c r="G25" s="94">
        <f t="shared" si="0"/>
        <v>0</v>
      </c>
      <c r="H25" s="91" t="str">
        <f t="shared" si="1"/>
        <v/>
      </c>
      <c r="I25" s="106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104" t="s">
        <v>48</v>
      </c>
      <c r="B26" s="86" t="s">
        <v>8</v>
      </c>
      <c r="C26" s="64">
        <f>SUMIFS((C7:C25),(A7:A25),A26)</f>
        <v>86677.786778376176</v>
      </c>
      <c r="D26" s="64">
        <f>SUMIFS((D7:D25),(A7:A25),A26)</f>
        <v>219195.05349622559</v>
      </c>
      <c r="E26" s="64">
        <f>SUMIFS((E7:E25),(A7:A25),A26)</f>
        <v>253265.00906201859</v>
      </c>
      <c r="F26" s="64">
        <f>SUMIFS((F7:F25),(A7:A25),A26)</f>
        <v>242283.61078481906</v>
      </c>
      <c r="G26" s="101">
        <f t="shared" si="0"/>
        <v>-132517.26671784942</v>
      </c>
      <c r="H26" s="87" t="str">
        <f t="shared" si="1"/>
        <v>-60,5%▼</v>
      </c>
      <c r="I26" s="93"/>
      <c r="J26" s="39"/>
      <c r="K26" s="39"/>
      <c r="L26" s="39"/>
      <c r="M26" s="39"/>
      <c r="N26" s="39"/>
      <c r="O26" s="39"/>
    </row>
    <row r="27" spans="1:15" s="40" customFormat="1" ht="15" customHeight="1" x14ac:dyDescent="0.25">
      <c r="A27" s="27" t="s">
        <v>46</v>
      </c>
      <c r="B27" s="55"/>
      <c r="C27" s="69"/>
      <c r="D27" s="69"/>
      <c r="E27" s="69"/>
      <c r="F27" s="69"/>
      <c r="G27" s="94">
        <f t="shared" si="0"/>
        <v>0</v>
      </c>
      <c r="H27" s="91" t="str">
        <f t="shared" si="1"/>
        <v/>
      </c>
      <c r="I27" s="56"/>
    </row>
    <row r="28" spans="1:15" s="40" customFormat="1" ht="15" customHeight="1" x14ac:dyDescent="0.25">
      <c r="A28" s="159" t="s">
        <v>46</v>
      </c>
      <c r="B28" s="163" t="s">
        <v>15</v>
      </c>
      <c r="C28" s="169">
        <f>112061.973159625-178.638571844919</f>
        <v>111883.33458778009</v>
      </c>
      <c r="D28" s="166">
        <v>55901.285890946303</v>
      </c>
      <c r="E28" s="166">
        <v>54259.045310516711</v>
      </c>
      <c r="F28" s="166">
        <v>49861.801067500957</v>
      </c>
      <c r="G28" s="96">
        <f t="shared" si="0"/>
        <v>55982.048696833786</v>
      </c>
      <c r="H28" s="92" t="str">
        <f t="shared" si="1"/>
        <v>100,1%▲</v>
      </c>
      <c r="I28" s="93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9" t="s">
        <v>46</v>
      </c>
      <c r="B29" s="167" t="s">
        <v>754</v>
      </c>
      <c r="C29" s="168"/>
      <c r="D29" s="165">
        <v>325035.45747028873</v>
      </c>
      <c r="E29" s="165">
        <v>379410.82620185468</v>
      </c>
      <c r="F29" s="165">
        <v>355662.31521846744</v>
      </c>
      <c r="G29" s="94">
        <f t="shared" si="0"/>
        <v>-325035.45747028873</v>
      </c>
      <c r="H29" s="91" t="str">
        <f t="shared" si="1"/>
        <v>-100,0%▼</v>
      </c>
      <c r="I29" s="106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9" t="s">
        <v>46</v>
      </c>
      <c r="B30" s="163" t="s">
        <v>16</v>
      </c>
      <c r="C30" s="169"/>
      <c r="D30" s="166"/>
      <c r="E30" s="166"/>
      <c r="F30" s="166"/>
      <c r="G30" s="96">
        <f t="shared" si="0"/>
        <v>0</v>
      </c>
      <c r="H30" s="92" t="str">
        <f t="shared" si="1"/>
        <v/>
      </c>
      <c r="I30" s="93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9" t="s">
        <v>46</v>
      </c>
      <c r="B31" s="167" t="s">
        <v>755</v>
      </c>
      <c r="C31" s="168">
        <v>33424.471215053309</v>
      </c>
      <c r="D31" s="165"/>
      <c r="E31" s="165"/>
      <c r="F31" s="165"/>
      <c r="G31" s="94">
        <f t="shared" si="0"/>
        <v>33424.471215053309</v>
      </c>
      <c r="H31" s="91" t="str">
        <f t="shared" si="1"/>
        <v/>
      </c>
      <c r="I31" s="106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9" t="s">
        <v>46</v>
      </c>
      <c r="B32" s="163" t="s">
        <v>756</v>
      </c>
      <c r="C32" s="169"/>
      <c r="D32" s="166"/>
      <c r="E32" s="166"/>
      <c r="F32" s="166"/>
      <c r="G32" s="96">
        <f t="shared" si="0"/>
        <v>0</v>
      </c>
      <c r="H32" s="92" t="str">
        <f t="shared" si="1"/>
        <v/>
      </c>
      <c r="I32" s="93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04" t="s">
        <v>46</v>
      </c>
      <c r="B33" s="107" t="s">
        <v>8</v>
      </c>
      <c r="C33" s="63">
        <f>SUMIFS((C7:C32),(A7:A32),A33)</f>
        <v>145307.80580283341</v>
      </c>
      <c r="D33" s="63">
        <f>SUMIFS((D7:D32),(A7:A32),A33)</f>
        <v>380936.74336123501</v>
      </c>
      <c r="E33" s="63">
        <f>SUMIFS((E7:E32),(A7:A32),A33)</f>
        <v>433669.87151237141</v>
      </c>
      <c r="F33" s="63">
        <f>SUMIFS((F7:F32),(A7:A32),A33)</f>
        <v>405524.1162859684</v>
      </c>
      <c r="G33" s="97">
        <f t="shared" si="0"/>
        <v>-235628.93755840161</v>
      </c>
      <c r="H33" s="85" t="str">
        <f t="shared" si="1"/>
        <v>-61,9%▼</v>
      </c>
      <c r="I33" s="105"/>
      <c r="J33" s="39"/>
      <c r="K33" s="39"/>
      <c r="L33" s="39"/>
      <c r="M33" s="39"/>
      <c r="N33" s="39"/>
      <c r="O33" s="39"/>
    </row>
    <row r="34" spans="1:15" ht="15" customHeight="1" x14ac:dyDescent="0.25">
      <c r="A34" s="27" t="s">
        <v>25</v>
      </c>
      <c r="B34" s="51"/>
      <c r="C34" s="64"/>
      <c r="D34" s="64"/>
      <c r="E34" s="64"/>
      <c r="F34" s="64"/>
      <c r="G34" s="96">
        <f t="shared" si="0"/>
        <v>0</v>
      </c>
      <c r="H34" s="92" t="str">
        <f t="shared" si="1"/>
        <v/>
      </c>
      <c r="I34" s="52"/>
    </row>
    <row r="35" spans="1:15" ht="15" customHeight="1" x14ac:dyDescent="0.25">
      <c r="A35" s="159" t="s">
        <v>25</v>
      </c>
      <c r="B35" s="167" t="s">
        <v>15</v>
      </c>
      <c r="C35" s="168">
        <f>55473.8099918771-88.4310878377047</f>
        <v>55385.378904039389</v>
      </c>
      <c r="D35" s="67">
        <v>27404.99272697702</v>
      </c>
      <c r="E35" s="67">
        <v>26819.400174501672</v>
      </c>
      <c r="F35" s="67">
        <v>24573.893512197374</v>
      </c>
      <c r="G35" s="94">
        <f t="shared" si="0"/>
        <v>27980.38617706237</v>
      </c>
      <c r="H35" s="91" t="str">
        <f t="shared" si="1"/>
        <v>102,1%▲</v>
      </c>
      <c r="I35" s="34"/>
      <c r="J35" s="154"/>
      <c r="K35" s="154"/>
      <c r="L35" s="154"/>
      <c r="M35" s="154"/>
      <c r="N35" s="154"/>
      <c r="O35" s="154"/>
    </row>
    <row r="36" spans="1:15" ht="15" customHeight="1" x14ac:dyDescent="0.25">
      <c r="A36" s="159" t="s">
        <v>25</v>
      </c>
      <c r="B36" s="163" t="s">
        <v>754</v>
      </c>
      <c r="C36" s="169"/>
      <c r="D36" s="68">
        <v>159345.07061894928</v>
      </c>
      <c r="E36" s="68">
        <v>187536.85620918166</v>
      </c>
      <c r="F36" s="68">
        <v>175284.64021282172</v>
      </c>
      <c r="G36" s="96">
        <f t="shared" si="0"/>
        <v>-159345.07061894928</v>
      </c>
      <c r="H36" s="92" t="str">
        <f t="shared" si="1"/>
        <v>-100,0%▼</v>
      </c>
      <c r="I36" s="93"/>
      <c r="J36" s="154"/>
      <c r="K36" s="154"/>
      <c r="L36" s="154"/>
      <c r="M36" s="154"/>
      <c r="N36" s="154"/>
      <c r="O36" s="154"/>
    </row>
    <row r="37" spans="1:15" ht="15" customHeight="1" x14ac:dyDescent="0.25">
      <c r="A37" s="159" t="s">
        <v>25</v>
      </c>
      <c r="B37" s="167" t="s">
        <v>16</v>
      </c>
      <c r="C37" s="168"/>
      <c r="D37" s="67"/>
      <c r="E37" s="67"/>
      <c r="F37" s="67"/>
      <c r="G37" s="94">
        <f t="shared" si="0"/>
        <v>0</v>
      </c>
      <c r="H37" s="91" t="str">
        <f t="shared" si="1"/>
        <v/>
      </c>
      <c r="I37" s="34"/>
      <c r="J37" s="154"/>
      <c r="K37" s="154"/>
      <c r="L37" s="154"/>
      <c r="M37" s="154"/>
      <c r="N37" s="154"/>
      <c r="O37" s="154"/>
    </row>
    <row r="38" spans="1:15" ht="15" customHeight="1" x14ac:dyDescent="0.25">
      <c r="A38" s="159" t="s">
        <v>25</v>
      </c>
      <c r="B38" s="163" t="s">
        <v>755</v>
      </c>
      <c r="C38" s="169">
        <v>16546.047807151041</v>
      </c>
      <c r="D38" s="166"/>
      <c r="E38" s="166"/>
      <c r="F38" s="166"/>
      <c r="G38" s="96">
        <f t="shared" si="0"/>
        <v>16546.047807151041</v>
      </c>
      <c r="H38" s="92" t="str">
        <f t="shared" si="1"/>
        <v/>
      </c>
      <c r="I38" s="54"/>
      <c r="J38" s="154"/>
      <c r="K38" s="154"/>
      <c r="L38" s="154"/>
      <c r="M38" s="154"/>
      <c r="N38" s="154"/>
      <c r="O38" s="154"/>
    </row>
    <row r="39" spans="1:15" ht="15" customHeight="1" x14ac:dyDescent="0.25">
      <c r="A39" s="159" t="s">
        <v>25</v>
      </c>
      <c r="B39" s="167" t="s">
        <v>756</v>
      </c>
      <c r="C39" s="168"/>
      <c r="D39" s="165"/>
      <c r="E39" s="165"/>
      <c r="F39" s="165"/>
      <c r="G39" s="94">
        <f t="shared" ref="G39:G68" si="2">IF(ISERROR(C39- D39)=TRUE,"",C39 - D39)</f>
        <v>0</v>
      </c>
      <c r="H39" s="91" t="str">
        <f t="shared" ref="H39:H68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60"/>
      <c r="J39" s="154"/>
      <c r="K39" s="154"/>
      <c r="L39" s="154"/>
      <c r="M39" s="154"/>
      <c r="N39" s="154"/>
      <c r="O39" s="154"/>
    </row>
    <row r="40" spans="1:15" s="40" customFormat="1" ht="15" customHeight="1" x14ac:dyDescent="0.25">
      <c r="A40" s="104" t="s">
        <v>25</v>
      </c>
      <c r="B40" s="86" t="s">
        <v>8</v>
      </c>
      <c r="C40" s="64">
        <f>SUMIFS((C7:C39),(A7:A39),A40)</f>
        <v>71931.426711190434</v>
      </c>
      <c r="D40" s="64">
        <f>SUMIFS((D7:D39),(A7:A39),A40)</f>
        <v>186750.06334592629</v>
      </c>
      <c r="E40" s="64">
        <f>SUMIFS((E7:E39),(A7:A39),A40)</f>
        <v>214356.25638368333</v>
      </c>
      <c r="F40" s="64">
        <f>SUMIFS((F7:F39),(A7:A39),A40)</f>
        <v>199858.53372501908</v>
      </c>
      <c r="G40" s="101">
        <f t="shared" si="2"/>
        <v>-114818.63663473586</v>
      </c>
      <c r="H40" s="87" t="str">
        <f t="shared" si="3"/>
        <v>-61,5%▼</v>
      </c>
      <c r="I40" s="108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26</v>
      </c>
      <c r="B41" s="57"/>
      <c r="C41" s="63"/>
      <c r="D41" s="63"/>
      <c r="E41" s="63"/>
      <c r="F41" s="63"/>
      <c r="G41" s="94">
        <f t="shared" si="2"/>
        <v>0</v>
      </c>
      <c r="H41" s="91" t="str">
        <f t="shared" si="3"/>
        <v/>
      </c>
      <c r="I41" s="58"/>
    </row>
    <row r="42" spans="1:15" ht="15" customHeight="1" x14ac:dyDescent="0.25">
      <c r="A42" s="159" t="s">
        <v>26</v>
      </c>
      <c r="B42" s="163" t="s">
        <v>15</v>
      </c>
      <c r="C42" s="169">
        <f>9402.83381147332-14.9891060813651</f>
        <v>9387.8447053919554</v>
      </c>
      <c r="D42" s="68">
        <v>4581.8605347702924</v>
      </c>
      <c r="E42" s="68">
        <v>4671.9657918219937</v>
      </c>
      <c r="F42" s="68">
        <v>4438.1440628073224</v>
      </c>
      <c r="G42" s="96">
        <f t="shared" si="2"/>
        <v>4805.984170621663</v>
      </c>
      <c r="H42" s="92" t="str">
        <f t="shared" si="3"/>
        <v>104,9%▲</v>
      </c>
      <c r="I42" s="54"/>
      <c r="J42" s="154"/>
      <c r="K42" s="154"/>
      <c r="L42" s="154"/>
      <c r="M42" s="154"/>
      <c r="N42" s="154"/>
      <c r="O42" s="154"/>
    </row>
    <row r="43" spans="1:15" ht="15" customHeight="1" x14ac:dyDescent="0.25">
      <c r="A43" s="159" t="s">
        <v>26</v>
      </c>
      <c r="B43" s="167" t="s">
        <v>754</v>
      </c>
      <c r="C43" s="168"/>
      <c r="D43" s="70">
        <v>26641.017487315497</v>
      </c>
      <c r="E43" s="70">
        <v>32669.104126651731</v>
      </c>
      <c r="F43" s="70">
        <v>31657.11143314423</v>
      </c>
      <c r="G43" s="94">
        <f t="shared" si="2"/>
        <v>-26641.017487315497</v>
      </c>
      <c r="H43" s="91" t="str">
        <f t="shared" si="3"/>
        <v>-100,0%▼</v>
      </c>
      <c r="I43" s="106"/>
      <c r="J43" s="154"/>
      <c r="K43" s="154"/>
      <c r="L43" s="154"/>
      <c r="M43" s="154"/>
      <c r="N43" s="154"/>
      <c r="O43" s="154"/>
    </row>
    <row r="44" spans="1:15" ht="15" customHeight="1" x14ac:dyDescent="0.25">
      <c r="A44" s="159" t="s">
        <v>26</v>
      </c>
      <c r="B44" s="163" t="s">
        <v>16</v>
      </c>
      <c r="C44" s="169"/>
      <c r="D44" s="68"/>
      <c r="E44" s="68"/>
      <c r="F44" s="68"/>
      <c r="G44" s="96">
        <f t="shared" si="2"/>
        <v>0</v>
      </c>
      <c r="H44" s="92" t="str">
        <f t="shared" si="3"/>
        <v/>
      </c>
      <c r="I44" s="54"/>
      <c r="J44" s="154"/>
      <c r="K44" s="154"/>
      <c r="L44" s="154"/>
      <c r="M44" s="154"/>
      <c r="N44" s="154"/>
      <c r="O44" s="154"/>
    </row>
    <row r="45" spans="1:15" ht="15" customHeight="1" x14ac:dyDescent="0.25">
      <c r="A45" s="159" t="s">
        <v>26</v>
      </c>
      <c r="B45" s="167" t="s">
        <v>755</v>
      </c>
      <c r="C45" s="168">
        <v>2804.5619687941912</v>
      </c>
      <c r="D45" s="165"/>
      <c r="E45" s="165"/>
      <c r="F45" s="165"/>
      <c r="G45" s="94">
        <f t="shared" si="2"/>
        <v>2804.5619687941912</v>
      </c>
      <c r="H45" s="91" t="str">
        <f t="shared" si="3"/>
        <v/>
      </c>
      <c r="I45" s="60"/>
      <c r="J45" s="154"/>
      <c r="K45" s="154"/>
      <c r="L45" s="154"/>
      <c r="M45" s="154"/>
      <c r="N45" s="154"/>
      <c r="O45" s="154"/>
    </row>
    <row r="46" spans="1:15" ht="15" customHeight="1" x14ac:dyDescent="0.25">
      <c r="A46" s="159" t="s">
        <v>26</v>
      </c>
      <c r="B46" s="163" t="s">
        <v>756</v>
      </c>
      <c r="C46" s="169"/>
      <c r="D46" s="166"/>
      <c r="E46" s="166"/>
      <c r="F46" s="166"/>
      <c r="G46" s="96">
        <f t="shared" si="2"/>
        <v>0</v>
      </c>
      <c r="H46" s="92" t="str">
        <f t="shared" si="3"/>
        <v/>
      </c>
      <c r="I46" s="54"/>
      <c r="J46" s="154"/>
      <c r="K46" s="154"/>
      <c r="L46" s="154"/>
      <c r="M46" s="154"/>
      <c r="N46" s="154"/>
      <c r="O46" s="154"/>
    </row>
    <row r="47" spans="1:15" s="40" customFormat="1" ht="15" customHeight="1" x14ac:dyDescent="0.25">
      <c r="A47" s="104" t="s">
        <v>26</v>
      </c>
      <c r="B47" s="45" t="s">
        <v>8</v>
      </c>
      <c r="C47" s="123">
        <f>SUMIFS((C7:C46),(A7:A46),A47)</f>
        <v>12192.406674186146</v>
      </c>
      <c r="D47" s="123">
        <f>SUMIFS((D7:D46),(A7:A46),A47)</f>
        <v>31222.878022085788</v>
      </c>
      <c r="E47" s="123">
        <f>SUMIFS((E7:E46),(A7:A46),A47)</f>
        <v>37341.069918473724</v>
      </c>
      <c r="F47" s="123">
        <f>SUMIFS((F7:F46),(A7:A46),A47)</f>
        <v>36095.255495951555</v>
      </c>
      <c r="G47" s="97">
        <f t="shared" si="2"/>
        <v>-19030.471347899642</v>
      </c>
      <c r="H47" s="85" t="str">
        <f t="shared" si="3"/>
        <v>-61,0%▼</v>
      </c>
      <c r="I47" s="46"/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25" t="s">
        <v>53</v>
      </c>
      <c r="B48" s="51"/>
      <c r="C48" s="64"/>
      <c r="D48" s="64"/>
      <c r="E48" s="64"/>
      <c r="F48" s="64"/>
      <c r="G48" s="96">
        <f t="shared" si="2"/>
        <v>0</v>
      </c>
      <c r="H48" s="92" t="str">
        <f t="shared" si="3"/>
        <v/>
      </c>
      <c r="I48" s="52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9" t="s">
        <v>53</v>
      </c>
      <c r="B49" s="167" t="s">
        <v>15</v>
      </c>
      <c r="C49" s="168">
        <f>3058.45047149229-4.87549173801848</f>
        <v>3053.5749797542717</v>
      </c>
      <c r="D49" s="67">
        <v>1266.4362803166516</v>
      </c>
      <c r="E49" s="67">
        <v>1062.7242269953315</v>
      </c>
      <c r="F49" s="67">
        <v>683.84823063763031</v>
      </c>
      <c r="G49" s="94">
        <f t="shared" si="2"/>
        <v>1787.1386994376201</v>
      </c>
      <c r="H49" s="91" t="str">
        <f t="shared" si="3"/>
        <v>141,1%▲</v>
      </c>
      <c r="I49" s="34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9" t="s">
        <v>53</v>
      </c>
      <c r="B50" s="163" t="s">
        <v>754</v>
      </c>
      <c r="C50" s="169"/>
      <c r="D50" s="68">
        <v>7363.6355437820403</v>
      </c>
      <c r="E50" s="68">
        <v>7431.1863520914985</v>
      </c>
      <c r="F50" s="68">
        <v>4877.8632091001218</v>
      </c>
      <c r="G50" s="96">
        <f t="shared" si="2"/>
        <v>-7363.6355437820403</v>
      </c>
      <c r="H50" s="92" t="str">
        <f t="shared" si="3"/>
        <v>-100,0%▼</v>
      </c>
      <c r="I50" s="54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9" t="s">
        <v>53</v>
      </c>
      <c r="B51" s="167" t="s">
        <v>16</v>
      </c>
      <c r="C51" s="168"/>
      <c r="D51" s="67"/>
      <c r="E51" s="67"/>
      <c r="F51" s="67"/>
      <c r="G51" s="94">
        <f t="shared" si="2"/>
        <v>0</v>
      </c>
      <c r="H51" s="91" t="str">
        <f t="shared" si="3"/>
        <v/>
      </c>
      <c r="I51" s="34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9" t="s">
        <v>53</v>
      </c>
      <c r="B52" s="163" t="s">
        <v>755</v>
      </c>
      <c r="C52" s="169">
        <v>912.23710295948774</v>
      </c>
      <c r="D52" s="166"/>
      <c r="E52" s="166"/>
      <c r="F52" s="166"/>
      <c r="G52" s="96">
        <f t="shared" si="2"/>
        <v>912.23710295948774</v>
      </c>
      <c r="H52" s="92" t="str">
        <f t="shared" si="3"/>
        <v/>
      </c>
      <c r="I52" s="54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9" t="s">
        <v>53</v>
      </c>
      <c r="B53" s="167" t="s">
        <v>756</v>
      </c>
      <c r="C53" s="168"/>
      <c r="D53" s="165"/>
      <c r="E53" s="165"/>
      <c r="F53" s="165"/>
      <c r="G53" s="94">
        <f t="shared" si="2"/>
        <v>0</v>
      </c>
      <c r="H53" s="91" t="str">
        <f t="shared" si="3"/>
        <v/>
      </c>
      <c r="I53" s="60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9" t="s">
        <v>53</v>
      </c>
      <c r="B54" s="86" t="s">
        <v>8</v>
      </c>
      <c r="C54" s="64">
        <f>SUMIFS((C7:C53),(A7:A53),A54)</f>
        <v>3965.8120827137595</v>
      </c>
      <c r="D54" s="64">
        <f>SUMIFS((D7:D53),(A7:A53),A54)</f>
        <v>8630.0718240986916</v>
      </c>
      <c r="E54" s="64">
        <f>SUMIFS((E7:E53),(A7:A53),A54)</f>
        <v>8493.9105790868307</v>
      </c>
      <c r="F54" s="64">
        <f>SUMIFS((F7:F53),(A7:A53),A54)</f>
        <v>5561.7114397377518</v>
      </c>
      <c r="G54" s="101">
        <f t="shared" si="2"/>
        <v>-4664.2597413849326</v>
      </c>
      <c r="H54" s="87" t="str">
        <f t="shared" si="3"/>
        <v>-54,0%▼</v>
      </c>
      <c r="I54" s="108"/>
      <c r="J54" s="39"/>
      <c r="K54" s="39"/>
      <c r="L54" s="39"/>
      <c r="M54" s="39"/>
      <c r="N54" s="39"/>
      <c r="O54" s="39"/>
    </row>
    <row r="55" spans="1:15" ht="15" customHeight="1" x14ac:dyDescent="0.25">
      <c r="A55" s="27" t="s">
        <v>27</v>
      </c>
      <c r="B55" s="57"/>
      <c r="C55" s="63"/>
      <c r="D55" s="63"/>
      <c r="E55" s="63"/>
      <c r="F55" s="63"/>
      <c r="G55" s="94">
        <f t="shared" si="2"/>
        <v>0</v>
      </c>
      <c r="H55" s="91" t="str">
        <f t="shared" si="3"/>
        <v/>
      </c>
      <c r="I55" s="58"/>
    </row>
    <row r="56" spans="1:15" ht="15" customHeight="1" x14ac:dyDescent="0.25">
      <c r="A56" s="159" t="s">
        <v>27</v>
      </c>
      <c r="B56" s="163" t="s">
        <v>15</v>
      </c>
      <c r="C56" s="169">
        <v>153606.7596465727</v>
      </c>
      <c r="D56" s="68">
        <v>78445.756531634936</v>
      </c>
      <c r="E56" s="68">
        <v>76085.99784007945</v>
      </c>
      <c r="F56" s="68">
        <v>70317.099139174301</v>
      </c>
      <c r="G56" s="96">
        <f t="shared" si="2"/>
        <v>75161.003114937761</v>
      </c>
      <c r="H56" s="92" t="str">
        <f t="shared" si="3"/>
        <v>95,8%▲</v>
      </c>
      <c r="I56" s="54"/>
      <c r="J56" s="154"/>
      <c r="K56" s="154"/>
      <c r="L56" s="154"/>
      <c r="M56" s="154"/>
      <c r="N56" s="154"/>
      <c r="O56" s="154"/>
    </row>
    <row r="57" spans="1:15" ht="15" customHeight="1" x14ac:dyDescent="0.25">
      <c r="A57" s="159" t="s">
        <v>27</v>
      </c>
      <c r="B57" s="167" t="s">
        <v>754</v>
      </c>
      <c r="C57" s="168"/>
      <c r="D57" s="70">
        <v>114029.81145462531</v>
      </c>
      <c r="E57" s="70">
        <v>266018.79131571995</v>
      </c>
      <c r="F57" s="70">
        <v>250784.58603439576</v>
      </c>
      <c r="G57" s="94">
        <f t="shared" si="2"/>
        <v>-114029.81145462531</v>
      </c>
      <c r="H57" s="91" t="str">
        <f t="shared" si="3"/>
        <v>-100,0%▼</v>
      </c>
      <c r="I57" s="60"/>
      <c r="J57" s="154"/>
      <c r="K57" s="154"/>
      <c r="L57" s="154"/>
      <c r="M57" s="154"/>
      <c r="N57" s="154"/>
      <c r="O57" s="154"/>
    </row>
    <row r="58" spans="1:15" ht="15" customHeight="1" x14ac:dyDescent="0.25">
      <c r="A58" s="159" t="s">
        <v>27</v>
      </c>
      <c r="B58" s="163" t="s">
        <v>16</v>
      </c>
      <c r="C58" s="169"/>
      <c r="D58" s="68"/>
      <c r="E58" s="68"/>
      <c r="F58" s="68"/>
      <c r="G58" s="96">
        <f t="shared" si="2"/>
        <v>0</v>
      </c>
      <c r="H58" s="92" t="str">
        <f t="shared" si="3"/>
        <v/>
      </c>
      <c r="I58" s="54"/>
      <c r="J58" s="154"/>
      <c r="K58" s="154"/>
      <c r="L58" s="154"/>
      <c r="M58" s="154"/>
      <c r="N58" s="154"/>
      <c r="O58" s="154"/>
    </row>
    <row r="59" spans="1:15" ht="15" customHeight="1" x14ac:dyDescent="0.25">
      <c r="A59" s="159" t="s">
        <v>27</v>
      </c>
      <c r="B59" s="167" t="s">
        <v>755</v>
      </c>
      <c r="C59" s="168">
        <v>45841.182782162927</v>
      </c>
      <c r="D59" s="165"/>
      <c r="E59" s="165"/>
      <c r="F59" s="165"/>
      <c r="G59" s="94">
        <f t="shared" si="2"/>
        <v>45841.182782162927</v>
      </c>
      <c r="H59" s="91" t="str">
        <f t="shared" si="3"/>
        <v/>
      </c>
      <c r="I59" s="60"/>
      <c r="J59" s="154"/>
      <c r="K59" s="154"/>
      <c r="L59" s="154"/>
      <c r="M59" s="154"/>
      <c r="N59" s="154"/>
      <c r="O59" s="154"/>
    </row>
    <row r="60" spans="1:15" ht="15" customHeight="1" x14ac:dyDescent="0.25">
      <c r="A60" s="159" t="s">
        <v>27</v>
      </c>
      <c r="B60" s="163" t="s">
        <v>756</v>
      </c>
      <c r="C60" s="169"/>
      <c r="D60" s="166"/>
      <c r="E60" s="166"/>
      <c r="F60" s="166"/>
      <c r="G60" s="96">
        <f t="shared" si="2"/>
        <v>0</v>
      </c>
      <c r="H60" s="92" t="str">
        <f t="shared" si="3"/>
        <v/>
      </c>
      <c r="I60" s="54"/>
      <c r="J60" s="154"/>
      <c r="K60" s="154"/>
      <c r="L60" s="154"/>
      <c r="M60" s="154"/>
      <c r="N60" s="154"/>
      <c r="O60" s="154"/>
    </row>
    <row r="61" spans="1:15" s="40" customFormat="1" ht="15" customHeight="1" x14ac:dyDescent="0.25">
      <c r="A61" s="104" t="s">
        <v>27</v>
      </c>
      <c r="B61" s="45" t="s">
        <v>8</v>
      </c>
      <c r="C61" s="123">
        <f>SUMIFS((C7:C60),(A7:A60),A61)</f>
        <v>199447.94242873561</v>
      </c>
      <c r="D61" s="123">
        <f>SUMIFS((D7:D60),(A7:A60),A61)</f>
        <v>192475.56798626023</v>
      </c>
      <c r="E61" s="123">
        <f>SUMIFS((E7:E60),(A7:A60),A61)</f>
        <v>342104.78915579943</v>
      </c>
      <c r="F61" s="123">
        <f>SUMIFS((F7:F60),(A7:A60),A61)</f>
        <v>321101.68517357006</v>
      </c>
      <c r="G61" s="97">
        <f t="shared" si="2"/>
        <v>6972.3744424753822</v>
      </c>
      <c r="H61" s="85" t="str">
        <f t="shared" si="3"/>
        <v>3,6%</v>
      </c>
      <c r="I61" s="46"/>
      <c r="J61" s="39"/>
      <c r="K61" s="39"/>
      <c r="L61" s="39"/>
      <c r="M61" s="39"/>
      <c r="N61" s="39"/>
      <c r="O61" s="39"/>
    </row>
    <row r="62" spans="1:15" ht="15" customHeight="1" x14ac:dyDescent="0.25">
      <c r="A62" s="27" t="s">
        <v>28</v>
      </c>
      <c r="B62" s="51"/>
      <c r="C62" s="64"/>
      <c r="D62" s="64"/>
      <c r="E62" s="64"/>
      <c r="F62" s="64"/>
      <c r="G62" s="96">
        <f t="shared" si="2"/>
        <v>0</v>
      </c>
      <c r="H62" s="92" t="str">
        <f t="shared" si="3"/>
        <v/>
      </c>
      <c r="I62" s="52"/>
    </row>
    <row r="63" spans="1:15" ht="15" customHeight="1" x14ac:dyDescent="0.25">
      <c r="A63" s="159" t="s">
        <v>28</v>
      </c>
      <c r="B63" s="167" t="s">
        <v>15</v>
      </c>
      <c r="C63" s="168">
        <v>404605.17660270008</v>
      </c>
      <c r="D63" s="67">
        <v>391028.27457685559</v>
      </c>
      <c r="E63" s="67">
        <v>464598.05498118937</v>
      </c>
      <c r="F63" s="67">
        <v>342721.47343151859</v>
      </c>
      <c r="G63" s="94">
        <f t="shared" si="2"/>
        <v>13576.902025844494</v>
      </c>
      <c r="H63" s="91" t="str">
        <f t="shared" si="3"/>
        <v>3,5%</v>
      </c>
      <c r="I63" s="34"/>
      <c r="J63" s="154"/>
      <c r="K63" s="154"/>
      <c r="L63" s="154"/>
      <c r="M63" s="154"/>
      <c r="N63" s="154"/>
      <c r="O63" s="154"/>
    </row>
    <row r="64" spans="1:15" ht="15" customHeight="1" x14ac:dyDescent="0.25">
      <c r="A64" s="159" t="s">
        <v>28</v>
      </c>
      <c r="B64" s="163" t="s">
        <v>754</v>
      </c>
      <c r="C64" s="169"/>
      <c r="D64" s="68">
        <v>76144.750249999997</v>
      </c>
      <c r="E64" s="68">
        <v>216923.04869999996</v>
      </c>
      <c r="F64" s="68">
        <v>196472.52218484998</v>
      </c>
      <c r="G64" s="96">
        <f t="shared" si="2"/>
        <v>-76144.750249999997</v>
      </c>
      <c r="H64" s="92" t="str">
        <f t="shared" si="3"/>
        <v>-100,0%▼</v>
      </c>
      <c r="I64" s="54"/>
      <c r="J64" s="154"/>
      <c r="K64" s="154"/>
      <c r="L64" s="154"/>
      <c r="M64" s="154"/>
      <c r="N64" s="154"/>
      <c r="O64" s="154"/>
    </row>
    <row r="65" spans="1:15" ht="15" customHeight="1" x14ac:dyDescent="0.25">
      <c r="A65" s="159" t="s">
        <v>28</v>
      </c>
      <c r="B65" s="167" t="s">
        <v>16</v>
      </c>
      <c r="C65" s="168"/>
      <c r="D65" s="67"/>
      <c r="E65" s="67"/>
      <c r="F65" s="67"/>
      <c r="G65" s="94">
        <f t="shared" si="2"/>
        <v>0</v>
      </c>
      <c r="H65" s="91" t="str">
        <f t="shared" si="3"/>
        <v/>
      </c>
      <c r="I65" s="34"/>
      <c r="J65" s="154"/>
      <c r="K65" s="154"/>
      <c r="L65" s="154"/>
      <c r="M65" s="154"/>
      <c r="N65" s="154"/>
      <c r="O65" s="154"/>
    </row>
    <row r="66" spans="1:15" ht="15" customHeight="1" x14ac:dyDescent="0.25">
      <c r="A66" s="159" t="s">
        <v>28</v>
      </c>
      <c r="B66" s="163" t="s">
        <v>755</v>
      </c>
      <c r="C66" s="169">
        <v>31236.335469999998</v>
      </c>
      <c r="D66" s="166"/>
      <c r="E66" s="166"/>
      <c r="F66" s="166"/>
      <c r="G66" s="96">
        <f t="shared" si="2"/>
        <v>31236.335469999998</v>
      </c>
      <c r="H66" s="92" t="str">
        <f t="shared" si="3"/>
        <v/>
      </c>
      <c r="I66" s="54"/>
      <c r="J66" s="154"/>
      <c r="K66" s="154"/>
      <c r="L66" s="154"/>
      <c r="M66" s="154"/>
      <c r="N66" s="154"/>
      <c r="O66" s="154"/>
    </row>
    <row r="67" spans="1:15" ht="15" customHeight="1" x14ac:dyDescent="0.25">
      <c r="A67" s="159" t="s">
        <v>28</v>
      </c>
      <c r="B67" s="167" t="s">
        <v>756</v>
      </c>
      <c r="C67" s="168"/>
      <c r="D67" s="165"/>
      <c r="E67" s="165"/>
      <c r="F67" s="165"/>
      <c r="G67" s="94">
        <f t="shared" si="2"/>
        <v>0</v>
      </c>
      <c r="H67" s="91" t="str">
        <f t="shared" si="3"/>
        <v/>
      </c>
      <c r="I67" s="60"/>
      <c r="J67" s="154"/>
      <c r="K67" s="154"/>
      <c r="L67" s="154"/>
      <c r="M67" s="154"/>
      <c r="N67" s="154"/>
      <c r="O67" s="154"/>
    </row>
    <row r="68" spans="1:15" s="40" customFormat="1" ht="15" customHeight="1" x14ac:dyDescent="0.25">
      <c r="A68" s="104" t="s">
        <v>28</v>
      </c>
      <c r="B68" s="45" t="s">
        <v>8</v>
      </c>
      <c r="C68" s="123">
        <f>SUMIFS((C7:C67),(A7:A67),A68)</f>
        <v>435841.51207270008</v>
      </c>
      <c r="D68" s="123">
        <f>SUMIFS((D7:D67),(A7:A67),A68)</f>
        <v>467173.02482685557</v>
      </c>
      <c r="E68" s="123">
        <f>SUMIFS((E7:E67),(A7:A67),A68)</f>
        <v>681521.10368118936</v>
      </c>
      <c r="F68" s="123">
        <f>SUMIFS((F7:F67),(A7:A67),A68)</f>
        <v>539193.9956163686</v>
      </c>
      <c r="G68" s="97">
        <f t="shared" si="2"/>
        <v>-31331.512754155498</v>
      </c>
      <c r="H68" s="85" t="str">
        <f t="shared" si="3"/>
        <v>-6,7%</v>
      </c>
      <c r="I68" s="46"/>
      <c r="J68" s="39"/>
      <c r="K68" s="39"/>
      <c r="L68" s="39"/>
      <c r="M68" s="39"/>
      <c r="N68" s="39"/>
      <c r="O68" s="39"/>
    </row>
    <row r="69" spans="1:15" ht="15" customHeight="1" x14ac:dyDescent="0.25">
      <c r="C69" s="160"/>
      <c r="D69" s="160"/>
      <c r="E69" s="160"/>
      <c r="F69" s="160"/>
    </row>
    <row r="70" spans="1:15" ht="15" customHeight="1" x14ac:dyDescent="0.25">
      <c r="C70" s="160"/>
      <c r="D70" s="160"/>
      <c r="E70" s="160"/>
      <c r="F70" s="160"/>
    </row>
    <row r="71" spans="1:15" ht="15" customHeight="1" x14ac:dyDescent="0.25">
      <c r="C71" s="160"/>
      <c r="D71" s="160"/>
      <c r="E71" s="160"/>
      <c r="F71" s="160"/>
    </row>
    <row r="72" spans="1:15" ht="15" customHeight="1" x14ac:dyDescent="0.25">
      <c r="C72" s="160"/>
      <c r="D72" s="160"/>
      <c r="E72" s="160"/>
      <c r="F72" s="160"/>
    </row>
    <row r="73" spans="1:15" ht="15" customHeight="1" x14ac:dyDescent="0.25">
      <c r="C73" s="160"/>
      <c r="D73" s="160"/>
      <c r="E73" s="160"/>
      <c r="F73" s="160"/>
    </row>
    <row r="74" spans="1:15" ht="15" customHeight="1" x14ac:dyDescent="0.25">
      <c r="C74" s="160"/>
      <c r="D74" s="160"/>
      <c r="E74" s="160"/>
      <c r="F74" s="160"/>
    </row>
    <row r="75" spans="1:15" ht="15" customHeight="1" x14ac:dyDescent="0.25">
      <c r="C75" s="160"/>
      <c r="D75" s="160"/>
      <c r="E75" s="160"/>
      <c r="F75" s="160"/>
    </row>
    <row r="76" spans="1:15" ht="15" customHeight="1" x14ac:dyDescent="0.25">
      <c r="C76" s="160"/>
      <c r="D76" s="160"/>
      <c r="E76" s="160"/>
      <c r="F76" s="160"/>
    </row>
    <row r="77" spans="1:15" ht="15" customHeight="1" x14ac:dyDescent="0.25">
      <c r="C77" s="160"/>
      <c r="D77" s="160"/>
      <c r="E77" s="160"/>
      <c r="F77" s="160"/>
    </row>
    <row r="78" spans="1:15" ht="15" customHeight="1" x14ac:dyDescent="0.25">
      <c r="C78" s="160"/>
      <c r="D78" s="160"/>
      <c r="E78" s="160"/>
      <c r="F78" s="160"/>
    </row>
    <row r="79" spans="1:15" ht="15" customHeight="1" x14ac:dyDescent="0.25">
      <c r="C79" s="160"/>
      <c r="D79" s="160"/>
      <c r="E79" s="160"/>
      <c r="F79" s="160"/>
    </row>
    <row r="80" spans="1:15" ht="15" customHeight="1" x14ac:dyDescent="0.25">
      <c r="C80" s="160"/>
      <c r="D80" s="160"/>
      <c r="E80" s="160"/>
      <c r="F80" s="160"/>
    </row>
    <row r="81" spans="3:6" ht="15" customHeight="1" x14ac:dyDescent="0.25">
      <c r="C81" s="160"/>
      <c r="D81" s="160"/>
      <c r="E81" s="160"/>
      <c r="F81" s="160"/>
    </row>
    <row r="82" spans="3:6" ht="15" customHeight="1" x14ac:dyDescent="0.25">
      <c r="C82" s="160"/>
      <c r="D82" s="160"/>
      <c r="E82" s="160"/>
      <c r="F82" s="160"/>
    </row>
    <row r="83" spans="3:6" ht="15" customHeight="1" x14ac:dyDescent="0.25">
      <c r="C83" s="160"/>
      <c r="D83" s="160"/>
      <c r="E83" s="160"/>
      <c r="F83" s="160"/>
    </row>
    <row r="84" spans="3:6" ht="15" customHeight="1" x14ac:dyDescent="0.25">
      <c r="C84" s="160"/>
      <c r="D84" s="160"/>
      <c r="E84" s="160"/>
      <c r="F84" s="160"/>
    </row>
    <row r="85" spans="3:6" ht="15" customHeight="1" x14ac:dyDescent="0.25">
      <c r="C85" s="160"/>
      <c r="D85" s="160"/>
      <c r="E85" s="160"/>
      <c r="F85" s="160"/>
    </row>
    <row r="86" spans="3:6" ht="15" customHeight="1" x14ac:dyDescent="0.25">
      <c r="C86" s="160"/>
      <c r="D86" s="160"/>
      <c r="E86" s="160"/>
      <c r="F86" s="160"/>
    </row>
    <row r="87" spans="3:6" ht="15" customHeight="1" x14ac:dyDescent="0.25">
      <c r="C87" s="160"/>
      <c r="D87" s="160"/>
      <c r="E87" s="160"/>
      <c r="F87" s="160"/>
    </row>
    <row r="88" spans="3:6" ht="15" customHeight="1" x14ac:dyDescent="0.25">
      <c r="C88" s="160"/>
      <c r="D88" s="160"/>
      <c r="E88" s="160"/>
      <c r="F88" s="160"/>
    </row>
    <row r="89" spans="3:6" ht="15" customHeight="1" x14ac:dyDescent="0.25">
      <c r="C89" s="160"/>
      <c r="D89" s="160"/>
      <c r="E89" s="160"/>
      <c r="F89" s="160"/>
    </row>
    <row r="90" spans="3:6" ht="15" customHeight="1" x14ac:dyDescent="0.25">
      <c r="C90" s="160"/>
      <c r="D90" s="160"/>
      <c r="E90" s="160"/>
      <c r="F90" s="160"/>
    </row>
    <row r="91" spans="3:6" ht="15" customHeight="1" x14ac:dyDescent="0.25">
      <c r="C91" s="160"/>
      <c r="D91" s="160"/>
      <c r="E91" s="160"/>
      <c r="F91" s="160"/>
    </row>
    <row r="92" spans="3:6" ht="15" customHeight="1" x14ac:dyDescent="0.25">
      <c r="C92" s="160"/>
      <c r="D92" s="160"/>
      <c r="E92" s="160"/>
      <c r="F92" s="160"/>
    </row>
    <row r="93" spans="3:6" ht="15" customHeight="1" x14ac:dyDescent="0.25">
      <c r="C93" s="160"/>
      <c r="D93" s="160"/>
      <c r="E93" s="160"/>
      <c r="F93" s="160"/>
    </row>
    <row r="94" spans="3:6" ht="15" customHeight="1" x14ac:dyDescent="0.25">
      <c r="C94" s="160"/>
      <c r="D94" s="160"/>
      <c r="E94" s="160"/>
      <c r="F94" s="160"/>
    </row>
    <row r="95" spans="3:6" ht="15" customHeight="1" x14ac:dyDescent="0.25">
      <c r="C95" s="160"/>
      <c r="D95" s="160"/>
      <c r="E95" s="160"/>
      <c r="F95" s="160"/>
    </row>
    <row r="96" spans="3:6" ht="15" customHeight="1" x14ac:dyDescent="0.25">
      <c r="C96" s="160"/>
      <c r="D96" s="160"/>
      <c r="E96" s="160"/>
      <c r="F96" s="160"/>
    </row>
    <row r="97" spans="3:6" ht="15" customHeight="1" x14ac:dyDescent="0.25">
      <c r="C97" s="160"/>
      <c r="D97" s="160"/>
      <c r="E97" s="160"/>
      <c r="F97" s="160"/>
    </row>
    <row r="98" spans="3:6" ht="15" customHeight="1" x14ac:dyDescent="0.25">
      <c r="C98" s="160"/>
      <c r="D98" s="160"/>
      <c r="E98" s="160"/>
      <c r="F98" s="160"/>
    </row>
    <row r="99" spans="3:6" ht="15" customHeight="1" x14ac:dyDescent="0.25">
      <c r="C99" s="160"/>
      <c r="D99" s="160"/>
      <c r="E99" s="160"/>
      <c r="F99" s="160"/>
    </row>
    <row r="100" spans="3:6" ht="15" customHeight="1" x14ac:dyDescent="0.25">
      <c r="C100" s="160"/>
      <c r="D100" s="160"/>
      <c r="E100" s="160"/>
      <c r="F100" s="160"/>
    </row>
    <row r="101" spans="3:6" ht="15" customHeight="1" x14ac:dyDescent="0.25">
      <c r="C101" s="160"/>
      <c r="D101" s="160"/>
      <c r="E101" s="160"/>
      <c r="F101" s="160"/>
    </row>
    <row r="102" spans="3:6" ht="15" customHeight="1" x14ac:dyDescent="0.25">
      <c r="C102" s="160"/>
      <c r="D102" s="160"/>
      <c r="E102" s="160"/>
      <c r="F102" s="160"/>
    </row>
    <row r="103" spans="3:6" ht="15" customHeight="1" x14ac:dyDescent="0.25">
      <c r="C103" s="160"/>
      <c r="D103" s="160"/>
      <c r="E103" s="160"/>
      <c r="F103" s="160"/>
    </row>
    <row r="104" spans="3:6" ht="15" customHeight="1" x14ac:dyDescent="0.25">
      <c r="C104" s="160"/>
      <c r="D104" s="160"/>
      <c r="E104" s="160"/>
      <c r="F104" s="160"/>
    </row>
    <row r="105" spans="3:6" ht="15" customHeight="1" x14ac:dyDescent="0.25">
      <c r="C105" s="160"/>
      <c r="D105" s="160"/>
      <c r="E105" s="160"/>
      <c r="F105" s="160"/>
    </row>
    <row r="106" spans="3:6" ht="15" customHeight="1" x14ac:dyDescent="0.25">
      <c r="C106" s="160"/>
      <c r="D106" s="160"/>
      <c r="E106" s="160"/>
      <c r="F106" s="160"/>
    </row>
    <row r="107" spans="3:6" ht="15" customHeight="1" x14ac:dyDescent="0.25">
      <c r="C107" s="160"/>
      <c r="D107" s="160"/>
      <c r="E107" s="160"/>
      <c r="F107" s="160"/>
    </row>
    <row r="108" spans="3:6" ht="15" customHeight="1" x14ac:dyDescent="0.25">
      <c r="C108" s="160"/>
      <c r="D108" s="160"/>
      <c r="E108" s="160"/>
      <c r="F108" s="160"/>
    </row>
    <row r="109" spans="3:6" ht="15" customHeight="1" x14ac:dyDescent="0.25">
      <c r="C109" s="160"/>
      <c r="D109" s="160"/>
      <c r="E109" s="160"/>
      <c r="F109" s="160"/>
    </row>
    <row r="110" spans="3:6" ht="15" customHeight="1" x14ac:dyDescent="0.25">
      <c r="C110" s="160"/>
      <c r="D110" s="160"/>
      <c r="E110" s="160"/>
      <c r="F110" s="160"/>
    </row>
    <row r="111" spans="3:6" ht="15" customHeight="1" x14ac:dyDescent="0.25">
      <c r="C111" s="160"/>
      <c r="D111" s="160"/>
      <c r="E111" s="160"/>
      <c r="F111" s="160"/>
    </row>
    <row r="112" spans="3:6" ht="15" customHeight="1" x14ac:dyDescent="0.25">
      <c r="C112" s="160"/>
      <c r="D112" s="160"/>
      <c r="E112" s="160"/>
      <c r="F112" s="160"/>
    </row>
    <row r="113" spans="3:6" ht="15" customHeight="1" x14ac:dyDescent="0.25">
      <c r="C113" s="160"/>
      <c r="D113" s="160"/>
      <c r="E113" s="160"/>
      <c r="F113" s="160"/>
    </row>
    <row r="114" spans="3:6" ht="15" customHeight="1" x14ac:dyDescent="0.25">
      <c r="C114" s="160"/>
      <c r="D114" s="160"/>
      <c r="E114" s="160"/>
      <c r="F114" s="160"/>
    </row>
    <row r="115" spans="3:6" ht="15" customHeight="1" x14ac:dyDescent="0.25">
      <c r="C115" s="160"/>
      <c r="D115" s="160"/>
      <c r="E115" s="160"/>
      <c r="F115" s="160"/>
    </row>
    <row r="116" spans="3:6" ht="15" customHeight="1" x14ac:dyDescent="0.25">
      <c r="C116" s="160"/>
      <c r="D116" s="160"/>
      <c r="E116" s="160"/>
      <c r="F116" s="160"/>
    </row>
    <row r="117" spans="3:6" ht="15" customHeight="1" x14ac:dyDescent="0.25">
      <c r="C117" s="160"/>
      <c r="D117" s="160"/>
      <c r="E117" s="160"/>
      <c r="F117" s="160"/>
    </row>
    <row r="118" spans="3:6" ht="15" customHeight="1" x14ac:dyDescent="0.25">
      <c r="C118" s="160"/>
      <c r="D118" s="160"/>
      <c r="E118" s="160"/>
      <c r="F118" s="160"/>
    </row>
    <row r="119" spans="3:6" ht="15" customHeight="1" x14ac:dyDescent="0.25">
      <c r="C119" s="160"/>
      <c r="D119" s="160"/>
      <c r="E119" s="160"/>
      <c r="F119" s="160"/>
    </row>
    <row r="120" spans="3:6" ht="15" customHeight="1" x14ac:dyDescent="0.25">
      <c r="C120" s="160"/>
      <c r="D120" s="160"/>
      <c r="E120" s="160"/>
      <c r="F120" s="160"/>
    </row>
    <row r="121" spans="3:6" ht="15" customHeight="1" x14ac:dyDescent="0.25">
      <c r="C121" s="160"/>
      <c r="D121" s="160"/>
      <c r="E121" s="160"/>
      <c r="F121" s="160"/>
    </row>
    <row r="122" spans="3:6" ht="15" customHeight="1" x14ac:dyDescent="0.25">
      <c r="C122" s="160"/>
      <c r="D122" s="160"/>
      <c r="E122" s="160"/>
      <c r="F122" s="160"/>
    </row>
    <row r="123" spans="3:6" ht="15" customHeight="1" x14ac:dyDescent="0.25">
      <c r="C123" s="160"/>
      <c r="D123" s="160"/>
      <c r="E123" s="160"/>
      <c r="F123" s="160"/>
    </row>
    <row r="124" spans="3:6" ht="15" customHeight="1" x14ac:dyDescent="0.25">
      <c r="C124" s="160"/>
      <c r="D124" s="160"/>
      <c r="E124" s="160"/>
      <c r="F124" s="160"/>
    </row>
    <row r="125" spans="3:6" ht="15" customHeight="1" x14ac:dyDescent="0.25">
      <c r="C125" s="160"/>
      <c r="D125" s="160"/>
      <c r="E125" s="160"/>
      <c r="F125" s="160"/>
    </row>
    <row r="126" spans="3:6" ht="15" customHeight="1" x14ac:dyDescent="0.25">
      <c r="C126" s="160"/>
      <c r="D126" s="160"/>
      <c r="E126" s="160"/>
      <c r="F126" s="160"/>
    </row>
    <row r="127" spans="3:6" ht="15" customHeight="1" x14ac:dyDescent="0.25">
      <c r="C127" s="160"/>
      <c r="D127" s="160"/>
      <c r="E127" s="160"/>
      <c r="F127" s="160"/>
    </row>
    <row r="128" spans="3:6" ht="15" customHeight="1" x14ac:dyDescent="0.25">
      <c r="C128" s="160"/>
      <c r="D128" s="160"/>
      <c r="E128" s="160"/>
      <c r="F128" s="160"/>
    </row>
    <row r="129" spans="3:6" ht="15" customHeight="1" x14ac:dyDescent="0.25">
      <c r="C129" s="160"/>
      <c r="D129" s="160"/>
      <c r="E129" s="160"/>
      <c r="F129" s="160"/>
    </row>
    <row r="130" spans="3:6" ht="15" customHeight="1" x14ac:dyDescent="0.25">
      <c r="C130" s="160"/>
      <c r="D130" s="160"/>
      <c r="E130" s="160"/>
      <c r="F130" s="160"/>
    </row>
    <row r="131" spans="3:6" ht="15" customHeight="1" x14ac:dyDescent="0.25">
      <c r="C131" s="160"/>
      <c r="D131" s="160"/>
      <c r="E131" s="160"/>
      <c r="F131" s="160"/>
    </row>
    <row r="132" spans="3:6" ht="15" customHeight="1" x14ac:dyDescent="0.25">
      <c r="C132" s="160"/>
      <c r="D132" s="160"/>
      <c r="E132" s="160"/>
      <c r="F132" s="160"/>
    </row>
    <row r="133" spans="3:6" ht="15" customHeight="1" x14ac:dyDescent="0.25">
      <c r="C133" s="160"/>
      <c r="D133" s="160"/>
      <c r="E133" s="160"/>
      <c r="F133" s="160"/>
    </row>
    <row r="134" spans="3:6" ht="15" customHeight="1" x14ac:dyDescent="0.25">
      <c r="C134" s="160"/>
      <c r="D134" s="160"/>
      <c r="E134" s="160"/>
      <c r="F134" s="160"/>
    </row>
    <row r="135" spans="3:6" ht="15" customHeight="1" x14ac:dyDescent="0.25">
      <c r="C135" s="160"/>
      <c r="D135" s="160"/>
      <c r="E135" s="160"/>
      <c r="F135" s="160"/>
    </row>
    <row r="136" spans="3:6" ht="15" customHeight="1" x14ac:dyDescent="0.25">
      <c r="C136" s="160"/>
      <c r="D136" s="160"/>
      <c r="E136" s="160"/>
      <c r="F136" s="160"/>
    </row>
    <row r="137" spans="3:6" ht="15" customHeight="1" x14ac:dyDescent="0.25">
      <c r="C137" s="160"/>
      <c r="D137" s="160"/>
      <c r="E137" s="160"/>
      <c r="F137" s="160"/>
    </row>
    <row r="138" spans="3:6" ht="15" customHeight="1" x14ac:dyDescent="0.25">
      <c r="C138" s="160"/>
      <c r="D138" s="160"/>
      <c r="E138" s="160"/>
      <c r="F138" s="160"/>
    </row>
    <row r="139" spans="3:6" ht="15" customHeight="1" x14ac:dyDescent="0.25">
      <c r="C139" s="160"/>
      <c r="D139" s="160"/>
      <c r="E139" s="160"/>
      <c r="F139" s="160"/>
    </row>
    <row r="140" spans="3:6" ht="15" customHeight="1" x14ac:dyDescent="0.25">
      <c r="C140" s="160"/>
      <c r="D140" s="160"/>
      <c r="E140" s="160"/>
      <c r="F140" s="160"/>
    </row>
    <row r="141" spans="3:6" ht="15" customHeight="1" x14ac:dyDescent="0.25">
      <c r="C141" s="160"/>
      <c r="D141" s="160"/>
      <c r="E141" s="160"/>
      <c r="F141" s="160"/>
    </row>
    <row r="142" spans="3:6" ht="15" customHeight="1" x14ac:dyDescent="0.25">
      <c r="C142" s="160"/>
      <c r="D142" s="160"/>
      <c r="E142" s="160"/>
      <c r="F142" s="160"/>
    </row>
    <row r="143" spans="3:6" ht="15" customHeight="1" x14ac:dyDescent="0.25">
      <c r="C143" s="160"/>
      <c r="D143" s="160"/>
      <c r="E143" s="160"/>
      <c r="F143" s="160"/>
    </row>
    <row r="144" spans="3:6" ht="15" customHeight="1" x14ac:dyDescent="0.25">
      <c r="C144" s="160"/>
      <c r="D144" s="160"/>
      <c r="E144" s="160"/>
      <c r="F144" s="160"/>
    </row>
    <row r="145" spans="3:6" ht="15" customHeight="1" x14ac:dyDescent="0.25">
      <c r="C145" s="160"/>
      <c r="D145" s="160"/>
      <c r="E145" s="160"/>
      <c r="F145" s="160"/>
    </row>
    <row r="146" spans="3:6" ht="15" customHeight="1" x14ac:dyDescent="0.25">
      <c r="C146" s="160"/>
      <c r="D146" s="160"/>
      <c r="E146" s="160"/>
      <c r="F146" s="160"/>
    </row>
    <row r="147" spans="3:6" ht="15" customHeight="1" x14ac:dyDescent="0.25">
      <c r="C147" s="160"/>
      <c r="D147" s="160"/>
      <c r="E147" s="160"/>
      <c r="F147" s="160"/>
    </row>
    <row r="148" spans="3:6" ht="15" customHeight="1" x14ac:dyDescent="0.25">
      <c r="C148" s="160"/>
      <c r="D148" s="160"/>
      <c r="E148" s="160"/>
      <c r="F148" s="160"/>
    </row>
    <row r="149" spans="3:6" ht="15" customHeight="1" x14ac:dyDescent="0.25">
      <c r="C149" s="160"/>
      <c r="D149" s="160"/>
      <c r="E149" s="160"/>
      <c r="F149" s="160"/>
    </row>
    <row r="150" spans="3:6" ht="15" customHeight="1" x14ac:dyDescent="0.25">
      <c r="C150" s="160"/>
      <c r="D150" s="160"/>
      <c r="E150" s="160"/>
      <c r="F150" s="160"/>
    </row>
    <row r="151" spans="3:6" ht="15" customHeight="1" x14ac:dyDescent="0.25">
      <c r="C151" s="160"/>
      <c r="D151" s="160"/>
      <c r="E151" s="160"/>
      <c r="F151" s="160"/>
    </row>
    <row r="152" spans="3:6" ht="15" customHeight="1" x14ac:dyDescent="0.25">
      <c r="C152" s="160"/>
      <c r="D152" s="160"/>
      <c r="E152" s="160"/>
      <c r="F152" s="160"/>
    </row>
    <row r="153" spans="3:6" ht="15" customHeight="1" x14ac:dyDescent="0.25">
      <c r="C153" s="160"/>
      <c r="D153" s="160"/>
      <c r="E153" s="160"/>
      <c r="F153" s="160"/>
    </row>
    <row r="154" spans="3:6" ht="15" customHeight="1" x14ac:dyDescent="0.25">
      <c r="C154" s="160"/>
      <c r="D154" s="160"/>
      <c r="E154" s="160"/>
      <c r="F154" s="160"/>
    </row>
    <row r="155" spans="3:6" ht="15" customHeight="1" x14ac:dyDescent="0.25">
      <c r="C155" s="160"/>
      <c r="D155" s="160"/>
      <c r="E155" s="160"/>
      <c r="F155" s="160"/>
    </row>
    <row r="156" spans="3:6" ht="15" customHeight="1" x14ac:dyDescent="0.25">
      <c r="C156" s="160"/>
      <c r="D156" s="160"/>
      <c r="E156" s="160"/>
      <c r="F156" s="160"/>
    </row>
    <row r="157" spans="3:6" ht="15" customHeight="1" x14ac:dyDescent="0.25">
      <c r="C157" s="160"/>
      <c r="D157" s="160"/>
      <c r="E157" s="160"/>
      <c r="F157" s="160"/>
    </row>
    <row r="158" spans="3:6" ht="15" customHeight="1" x14ac:dyDescent="0.25">
      <c r="C158" s="160"/>
      <c r="D158" s="160"/>
      <c r="E158" s="160"/>
      <c r="F158" s="160"/>
    </row>
    <row r="159" spans="3:6" ht="15" customHeight="1" x14ac:dyDescent="0.25">
      <c r="C159" s="160"/>
      <c r="D159" s="160"/>
      <c r="E159" s="160"/>
      <c r="F159" s="160"/>
    </row>
    <row r="160" spans="3:6" ht="15" customHeight="1" x14ac:dyDescent="0.25">
      <c r="C160" s="160"/>
      <c r="D160" s="160"/>
      <c r="E160" s="160"/>
      <c r="F160" s="160"/>
    </row>
    <row r="161" spans="3:6" ht="15" customHeight="1" x14ac:dyDescent="0.25">
      <c r="C161" s="160"/>
      <c r="D161" s="160"/>
      <c r="E161" s="160"/>
      <c r="F161" s="160"/>
    </row>
    <row r="162" spans="3:6" ht="15" customHeight="1" x14ac:dyDescent="0.25">
      <c r="C162" s="160"/>
      <c r="D162" s="160"/>
      <c r="E162" s="160"/>
      <c r="F162" s="160"/>
    </row>
    <row r="163" spans="3:6" ht="15" customHeight="1" x14ac:dyDescent="0.25">
      <c r="C163" s="160"/>
      <c r="D163" s="160"/>
      <c r="E163" s="160"/>
      <c r="F163" s="160"/>
    </row>
    <row r="164" spans="3:6" ht="15" customHeight="1" x14ac:dyDescent="0.25">
      <c r="C164" s="160"/>
      <c r="D164" s="160"/>
      <c r="E164" s="160"/>
      <c r="F164" s="160"/>
    </row>
    <row r="165" spans="3:6" ht="15" customHeight="1" x14ac:dyDescent="0.25">
      <c r="C165" s="160"/>
      <c r="D165" s="160"/>
      <c r="E165" s="160"/>
      <c r="F165" s="160"/>
    </row>
    <row r="166" spans="3:6" ht="15" customHeight="1" x14ac:dyDescent="0.25">
      <c r="C166" s="160"/>
      <c r="D166" s="160"/>
      <c r="E166" s="160"/>
      <c r="F166" s="160"/>
    </row>
    <row r="167" spans="3:6" ht="15" customHeight="1" x14ac:dyDescent="0.25">
      <c r="C167" s="160"/>
      <c r="D167" s="160"/>
      <c r="E167" s="160"/>
      <c r="F167" s="160"/>
    </row>
    <row r="168" spans="3:6" ht="15" customHeight="1" x14ac:dyDescent="0.25">
      <c r="C168" s="160"/>
      <c r="D168" s="160"/>
      <c r="E168" s="160"/>
      <c r="F168" s="160"/>
    </row>
    <row r="169" spans="3:6" ht="15" customHeight="1" x14ac:dyDescent="0.25">
      <c r="C169" s="160"/>
      <c r="D169" s="160"/>
      <c r="E169" s="160"/>
      <c r="F169" s="160"/>
    </row>
    <row r="170" spans="3:6" ht="15" customHeight="1" x14ac:dyDescent="0.25">
      <c r="C170" s="160"/>
      <c r="D170" s="160"/>
      <c r="E170" s="160"/>
      <c r="F170" s="160"/>
    </row>
    <row r="171" spans="3:6" ht="15" customHeight="1" x14ac:dyDescent="0.25">
      <c r="C171" s="160"/>
      <c r="D171" s="160"/>
      <c r="E171" s="160"/>
      <c r="F171" s="160"/>
    </row>
    <row r="172" spans="3:6" ht="15" customHeight="1" x14ac:dyDescent="0.25">
      <c r="C172" s="160"/>
      <c r="D172" s="160"/>
      <c r="E172" s="160"/>
      <c r="F172" s="160"/>
    </row>
    <row r="173" spans="3:6" ht="15" customHeight="1" x14ac:dyDescent="0.25">
      <c r="C173" s="160"/>
      <c r="D173" s="160"/>
      <c r="E173" s="160"/>
      <c r="F173" s="160"/>
    </row>
    <row r="174" spans="3:6" ht="15" customHeight="1" x14ac:dyDescent="0.25">
      <c r="C174" s="160"/>
      <c r="D174" s="160"/>
      <c r="E174" s="160"/>
      <c r="F174" s="160"/>
    </row>
    <row r="175" spans="3:6" ht="15" customHeight="1" x14ac:dyDescent="0.25">
      <c r="C175" s="160"/>
      <c r="D175" s="160"/>
      <c r="E175" s="160"/>
      <c r="F175" s="160"/>
    </row>
    <row r="176" spans="3:6" ht="15" customHeight="1" x14ac:dyDescent="0.25">
      <c r="C176" s="160"/>
      <c r="D176" s="160"/>
      <c r="E176" s="160"/>
      <c r="F176" s="160"/>
    </row>
    <row r="177" spans="3:6" ht="15" customHeight="1" x14ac:dyDescent="0.25">
      <c r="C177" s="160"/>
      <c r="D177" s="160"/>
      <c r="E177" s="160"/>
      <c r="F177" s="160"/>
    </row>
    <row r="178" spans="3:6" ht="15" customHeight="1" x14ac:dyDescent="0.25">
      <c r="C178" s="160"/>
      <c r="D178" s="160"/>
      <c r="E178" s="160"/>
      <c r="F178" s="160"/>
    </row>
    <row r="179" spans="3:6" ht="15" customHeight="1" x14ac:dyDescent="0.25">
      <c r="C179" s="160"/>
      <c r="D179" s="160"/>
      <c r="E179" s="160"/>
      <c r="F179" s="160"/>
    </row>
    <row r="180" spans="3:6" ht="15" customHeight="1" x14ac:dyDescent="0.25">
      <c r="C180" s="160"/>
      <c r="D180" s="160"/>
      <c r="E180" s="160"/>
      <c r="F180" s="160"/>
    </row>
    <row r="181" spans="3:6" ht="15" customHeight="1" x14ac:dyDescent="0.25">
      <c r="C181" s="160"/>
      <c r="D181" s="160"/>
      <c r="E181" s="160"/>
      <c r="F181" s="160"/>
    </row>
    <row r="182" spans="3:6" ht="15" customHeight="1" x14ac:dyDescent="0.25">
      <c r="C182" s="160"/>
      <c r="D182" s="160"/>
      <c r="E182" s="160"/>
      <c r="F182" s="160"/>
    </row>
    <row r="183" spans="3:6" ht="15" customHeight="1" x14ac:dyDescent="0.25">
      <c r="C183" s="160"/>
      <c r="D183" s="160"/>
      <c r="E183" s="160"/>
      <c r="F183" s="160"/>
    </row>
    <row r="184" spans="3:6" ht="15" customHeight="1" x14ac:dyDescent="0.25">
      <c r="C184" s="160"/>
      <c r="D184" s="160"/>
      <c r="E184" s="160"/>
      <c r="F184" s="160"/>
    </row>
    <row r="185" spans="3:6" ht="15" customHeight="1" x14ac:dyDescent="0.25">
      <c r="C185" s="160"/>
      <c r="D185" s="160"/>
      <c r="E185" s="160"/>
      <c r="F185" s="160"/>
    </row>
    <row r="186" spans="3:6" ht="15" customHeight="1" x14ac:dyDescent="0.25">
      <c r="C186" s="160"/>
      <c r="D186" s="160"/>
      <c r="E186" s="160"/>
      <c r="F186" s="160"/>
    </row>
    <row r="187" spans="3:6" ht="15" customHeight="1" x14ac:dyDescent="0.25">
      <c r="C187" s="160"/>
      <c r="D187" s="160"/>
      <c r="E187" s="160"/>
      <c r="F187" s="160"/>
    </row>
    <row r="188" spans="3:6" ht="15" customHeight="1" x14ac:dyDescent="0.25">
      <c r="C188" s="160"/>
      <c r="D188" s="160"/>
      <c r="E188" s="160"/>
      <c r="F188" s="160"/>
    </row>
    <row r="189" spans="3:6" ht="15" customHeight="1" x14ac:dyDescent="0.25">
      <c r="C189" s="160"/>
      <c r="D189" s="160"/>
      <c r="E189" s="160"/>
      <c r="F189" s="160"/>
    </row>
    <row r="190" spans="3:6" ht="15" customHeight="1" x14ac:dyDescent="0.25">
      <c r="C190" s="160"/>
      <c r="D190" s="160"/>
      <c r="E190" s="160"/>
      <c r="F190" s="160"/>
    </row>
    <row r="191" spans="3:6" ht="15" customHeight="1" x14ac:dyDescent="0.25">
      <c r="C191" s="160"/>
      <c r="D191" s="160"/>
      <c r="E191" s="160"/>
      <c r="F191" s="160"/>
    </row>
    <row r="192" spans="3:6" ht="15" customHeight="1" x14ac:dyDescent="0.25">
      <c r="C192" s="160"/>
      <c r="D192" s="160"/>
      <c r="E192" s="160"/>
      <c r="F192" s="160"/>
    </row>
    <row r="193" spans="3:6" ht="15" customHeight="1" x14ac:dyDescent="0.25">
      <c r="C193" s="160"/>
      <c r="D193" s="160"/>
      <c r="E193" s="160"/>
      <c r="F193" s="160"/>
    </row>
    <row r="194" spans="3:6" ht="15" customHeight="1" x14ac:dyDescent="0.25">
      <c r="C194" s="160"/>
      <c r="D194" s="160"/>
      <c r="E194" s="160"/>
      <c r="F194" s="160"/>
    </row>
    <row r="195" spans="3:6" ht="15" customHeight="1" x14ac:dyDescent="0.25">
      <c r="C195" s="160"/>
      <c r="D195" s="160"/>
      <c r="E195" s="160"/>
      <c r="F195" s="160"/>
    </row>
    <row r="196" spans="3:6" ht="15" customHeight="1" x14ac:dyDescent="0.25">
      <c r="C196" s="160"/>
      <c r="D196" s="160"/>
      <c r="E196" s="160"/>
      <c r="F196" s="160"/>
    </row>
    <row r="197" spans="3:6" ht="15" customHeight="1" x14ac:dyDescent="0.25">
      <c r="C197" s="160"/>
      <c r="D197" s="160"/>
      <c r="E197" s="160"/>
      <c r="F197" s="160"/>
    </row>
    <row r="198" spans="3:6" ht="15" customHeight="1" x14ac:dyDescent="0.25">
      <c r="C198" s="160"/>
      <c r="D198" s="160"/>
      <c r="E198" s="160"/>
      <c r="F198" s="160"/>
    </row>
    <row r="199" spans="3:6" ht="15" customHeight="1" x14ac:dyDescent="0.25">
      <c r="C199" s="160"/>
      <c r="D199" s="160"/>
      <c r="E199" s="160"/>
      <c r="F199" s="160"/>
    </row>
    <row r="200" spans="3:6" ht="15" customHeight="1" x14ac:dyDescent="0.25">
      <c r="C200" s="160"/>
      <c r="D200" s="160"/>
      <c r="E200" s="160"/>
      <c r="F200" s="160"/>
    </row>
    <row r="201" spans="3:6" ht="15" customHeight="1" x14ac:dyDescent="0.25">
      <c r="C201" s="160"/>
      <c r="D201" s="160"/>
      <c r="E201" s="160"/>
      <c r="F201" s="160"/>
    </row>
    <row r="202" spans="3:6" ht="15" customHeight="1" x14ac:dyDescent="0.25">
      <c r="C202" s="160"/>
      <c r="D202" s="160"/>
      <c r="E202" s="160"/>
      <c r="F202" s="160"/>
    </row>
    <row r="203" spans="3:6" ht="15" customHeight="1" x14ac:dyDescent="0.25">
      <c r="C203" s="160"/>
      <c r="D203" s="160"/>
      <c r="E203" s="160"/>
      <c r="F203" s="160"/>
    </row>
    <row r="204" spans="3:6" ht="15" customHeight="1" x14ac:dyDescent="0.25">
      <c r="C204" s="160"/>
      <c r="D204" s="160"/>
      <c r="E204" s="160"/>
      <c r="F204" s="160"/>
    </row>
    <row r="205" spans="3:6" ht="15" customHeight="1" x14ac:dyDescent="0.25">
      <c r="C205" s="160"/>
      <c r="D205" s="160"/>
      <c r="E205" s="160"/>
      <c r="F205" s="160"/>
    </row>
    <row r="206" spans="3:6" ht="15" customHeight="1" x14ac:dyDescent="0.25">
      <c r="C206" s="160"/>
      <c r="D206" s="160"/>
      <c r="E206" s="160"/>
      <c r="F206" s="160"/>
    </row>
    <row r="207" spans="3:6" ht="15" customHeight="1" x14ac:dyDescent="0.25">
      <c r="C207" s="160"/>
      <c r="D207" s="160"/>
      <c r="E207" s="160"/>
      <c r="F207" s="160"/>
    </row>
    <row r="208" spans="3:6" ht="15" customHeight="1" x14ac:dyDescent="0.25">
      <c r="C208" s="160"/>
      <c r="D208" s="160"/>
      <c r="E208" s="160"/>
      <c r="F208" s="160"/>
    </row>
    <row r="209" spans="3:6" ht="15" customHeight="1" x14ac:dyDescent="0.25">
      <c r="C209" s="160"/>
      <c r="D209" s="160"/>
      <c r="E209" s="160"/>
      <c r="F209" s="160"/>
    </row>
    <row r="210" spans="3:6" ht="15" customHeight="1" x14ac:dyDescent="0.25">
      <c r="C210" s="160"/>
      <c r="D210" s="160"/>
      <c r="E210" s="160"/>
      <c r="F210" s="160"/>
    </row>
    <row r="211" spans="3:6" ht="15" customHeight="1" x14ac:dyDescent="0.25">
      <c r="C211" s="160"/>
      <c r="D211" s="160"/>
      <c r="E211" s="160"/>
      <c r="F211" s="160"/>
    </row>
    <row r="212" spans="3:6" ht="15" customHeight="1" x14ac:dyDescent="0.25">
      <c r="C212" s="160"/>
      <c r="D212" s="160"/>
      <c r="E212" s="160"/>
      <c r="F212" s="160"/>
    </row>
    <row r="213" spans="3:6" ht="15" customHeight="1" x14ac:dyDescent="0.25">
      <c r="C213" s="160"/>
      <c r="D213" s="160"/>
      <c r="E213" s="160"/>
      <c r="F213" s="160"/>
    </row>
    <row r="214" spans="3:6" ht="15" customHeight="1" x14ac:dyDescent="0.25">
      <c r="C214" s="160"/>
      <c r="D214" s="160"/>
      <c r="E214" s="160"/>
      <c r="F214" s="160"/>
    </row>
    <row r="215" spans="3:6" ht="15" customHeight="1" x14ac:dyDescent="0.25">
      <c r="C215" s="160"/>
      <c r="D215" s="160"/>
      <c r="E215" s="160"/>
      <c r="F215" s="160"/>
    </row>
    <row r="216" spans="3:6" ht="15" customHeight="1" x14ac:dyDescent="0.25">
      <c r="C216" s="160"/>
      <c r="D216" s="160"/>
      <c r="E216" s="160"/>
      <c r="F216" s="160"/>
    </row>
    <row r="217" spans="3:6" ht="15" customHeight="1" x14ac:dyDescent="0.25">
      <c r="C217" s="160"/>
      <c r="D217" s="160"/>
      <c r="E217" s="160"/>
      <c r="F217" s="160"/>
    </row>
    <row r="218" spans="3:6" ht="15" customHeight="1" x14ac:dyDescent="0.25">
      <c r="C218" s="160"/>
      <c r="D218" s="160"/>
      <c r="E218" s="160"/>
      <c r="F218" s="160"/>
    </row>
    <row r="219" spans="3:6" ht="15" customHeight="1" x14ac:dyDescent="0.25">
      <c r="C219" s="160"/>
      <c r="D219" s="160"/>
      <c r="E219" s="160"/>
      <c r="F219" s="160"/>
    </row>
    <row r="220" spans="3:6" ht="15" customHeight="1" x14ac:dyDescent="0.25">
      <c r="C220" s="160"/>
      <c r="D220" s="160"/>
      <c r="E220" s="160"/>
      <c r="F220" s="160"/>
    </row>
    <row r="221" spans="3:6" ht="15" customHeight="1" x14ac:dyDescent="0.25">
      <c r="C221" s="160"/>
      <c r="D221" s="160"/>
      <c r="E221" s="160"/>
      <c r="F221" s="160"/>
    </row>
    <row r="222" spans="3:6" ht="15" customHeight="1" x14ac:dyDescent="0.25">
      <c r="C222" s="160"/>
      <c r="D222" s="160"/>
      <c r="E222" s="160"/>
      <c r="F222" s="160"/>
    </row>
    <row r="223" spans="3:6" ht="15" customHeight="1" x14ac:dyDescent="0.25">
      <c r="C223" s="160"/>
      <c r="D223" s="160"/>
      <c r="E223" s="160"/>
      <c r="F223" s="160"/>
    </row>
    <row r="224" spans="3:6" ht="15" customHeight="1" x14ac:dyDescent="0.25">
      <c r="C224" s="160"/>
      <c r="D224" s="160"/>
      <c r="E224" s="160"/>
      <c r="F224" s="160"/>
    </row>
    <row r="225" spans="3:6" ht="15" customHeight="1" x14ac:dyDescent="0.25">
      <c r="C225" s="160"/>
      <c r="D225" s="160"/>
      <c r="E225" s="160"/>
      <c r="F225" s="160"/>
    </row>
    <row r="226" spans="3:6" ht="15" customHeight="1" x14ac:dyDescent="0.25">
      <c r="C226" s="160"/>
      <c r="D226" s="160"/>
      <c r="E226" s="160"/>
      <c r="F226" s="160"/>
    </row>
    <row r="227" spans="3:6" ht="15" customHeight="1" x14ac:dyDescent="0.25">
      <c r="C227" s="160"/>
      <c r="D227" s="160"/>
      <c r="E227" s="160"/>
      <c r="F227" s="160"/>
    </row>
    <row r="228" spans="3:6" ht="15" customHeight="1" x14ac:dyDescent="0.25">
      <c r="C228" s="160"/>
      <c r="D228" s="160"/>
      <c r="E228" s="160"/>
      <c r="F228" s="160"/>
    </row>
    <row r="229" spans="3:6" ht="15" customHeight="1" x14ac:dyDescent="0.25">
      <c r="C229" s="160"/>
      <c r="D229" s="160"/>
      <c r="E229" s="160"/>
      <c r="F229" s="160"/>
    </row>
    <row r="230" spans="3:6" ht="15" customHeight="1" x14ac:dyDescent="0.25">
      <c r="C230" s="160"/>
      <c r="D230" s="160"/>
      <c r="E230" s="160"/>
      <c r="F230" s="160"/>
    </row>
    <row r="231" spans="3:6" ht="15" customHeight="1" x14ac:dyDescent="0.25">
      <c r="C231" s="160"/>
      <c r="D231" s="160"/>
      <c r="E231" s="160"/>
      <c r="F231" s="160"/>
    </row>
    <row r="232" spans="3:6" ht="15" customHeight="1" x14ac:dyDescent="0.25">
      <c r="C232" s="160"/>
      <c r="D232" s="160"/>
      <c r="E232" s="160"/>
      <c r="F232" s="160"/>
    </row>
    <row r="233" spans="3:6" ht="15" customHeight="1" x14ac:dyDescent="0.25">
      <c r="C233" s="160"/>
      <c r="D233" s="160"/>
      <c r="E233" s="160"/>
      <c r="F233" s="160"/>
    </row>
    <row r="234" spans="3:6" ht="15" customHeight="1" x14ac:dyDescent="0.25">
      <c r="C234" s="160"/>
      <c r="D234" s="160"/>
      <c r="E234" s="160"/>
      <c r="F234" s="160"/>
    </row>
    <row r="235" spans="3:6" ht="15" customHeight="1" x14ac:dyDescent="0.25">
      <c r="C235" s="160"/>
      <c r="D235" s="160"/>
      <c r="E235" s="160"/>
      <c r="F235" s="160"/>
    </row>
    <row r="236" spans="3:6" ht="15" customHeight="1" x14ac:dyDescent="0.25">
      <c r="C236" s="160"/>
      <c r="D236" s="160"/>
      <c r="E236" s="160"/>
      <c r="F236" s="160"/>
    </row>
    <row r="237" spans="3:6" ht="15" customHeight="1" x14ac:dyDescent="0.25">
      <c r="C237" s="160"/>
      <c r="D237" s="160"/>
      <c r="E237" s="160"/>
      <c r="F237" s="160"/>
    </row>
    <row r="238" spans="3:6" ht="15" customHeight="1" x14ac:dyDescent="0.25">
      <c r="C238" s="160"/>
      <c r="D238" s="160"/>
      <c r="E238" s="160"/>
      <c r="F238" s="160"/>
    </row>
    <row r="239" spans="3:6" ht="15" customHeight="1" x14ac:dyDescent="0.25">
      <c r="C239" s="160"/>
      <c r="D239" s="160"/>
      <c r="E239" s="160"/>
      <c r="F239" s="160"/>
    </row>
    <row r="240" spans="3:6" ht="15" customHeight="1" x14ac:dyDescent="0.25">
      <c r="C240" s="160"/>
      <c r="D240" s="160"/>
      <c r="E240" s="160"/>
      <c r="F240" s="160"/>
    </row>
    <row r="241" spans="3:6" ht="15" customHeight="1" x14ac:dyDescent="0.25">
      <c r="C241" s="160"/>
      <c r="D241" s="160"/>
      <c r="E241" s="160"/>
      <c r="F241" s="160"/>
    </row>
    <row r="242" spans="3:6" ht="15" customHeight="1" x14ac:dyDescent="0.25">
      <c r="C242" s="160"/>
      <c r="D242" s="160"/>
      <c r="E242" s="160"/>
      <c r="F242" s="160"/>
    </row>
    <row r="243" spans="3:6" ht="15" customHeight="1" x14ac:dyDescent="0.25">
      <c r="C243" s="160"/>
      <c r="D243" s="160"/>
      <c r="E243" s="160"/>
      <c r="F243" s="160"/>
    </row>
    <row r="244" spans="3:6" ht="15" customHeight="1" x14ac:dyDescent="0.25">
      <c r="C244" s="160"/>
      <c r="D244" s="160"/>
      <c r="E244" s="160"/>
      <c r="F244" s="160"/>
    </row>
    <row r="245" spans="3:6" ht="15" customHeight="1" x14ac:dyDescent="0.25">
      <c r="C245" s="160"/>
      <c r="D245" s="160"/>
      <c r="E245" s="160"/>
      <c r="F245" s="160"/>
    </row>
    <row r="246" spans="3:6" ht="15" customHeight="1" x14ac:dyDescent="0.25">
      <c r="C246" s="160"/>
      <c r="D246" s="160"/>
      <c r="E246" s="160"/>
      <c r="F246" s="160"/>
    </row>
    <row r="247" spans="3:6" ht="15" customHeight="1" x14ac:dyDescent="0.25">
      <c r="C247" s="160"/>
      <c r="D247" s="160"/>
      <c r="E247" s="160"/>
      <c r="F247" s="160"/>
    </row>
    <row r="248" spans="3:6" ht="15" customHeight="1" x14ac:dyDescent="0.25">
      <c r="C248" s="160"/>
      <c r="D248" s="160"/>
      <c r="E248" s="160"/>
      <c r="F248" s="160"/>
    </row>
    <row r="249" spans="3:6" ht="15" customHeight="1" x14ac:dyDescent="0.25">
      <c r="C249" s="160"/>
      <c r="D249" s="160"/>
      <c r="E249" s="160"/>
      <c r="F249" s="160"/>
    </row>
    <row r="250" spans="3:6" ht="15" customHeight="1" x14ac:dyDescent="0.25">
      <c r="C250" s="160"/>
      <c r="D250" s="160"/>
      <c r="E250" s="160"/>
      <c r="F250" s="160"/>
    </row>
    <row r="251" spans="3:6" ht="15" customHeight="1" x14ac:dyDescent="0.25">
      <c r="C251" s="160"/>
      <c r="D251" s="160"/>
      <c r="E251" s="160"/>
      <c r="F251" s="160"/>
    </row>
    <row r="252" spans="3:6" ht="15" customHeight="1" x14ac:dyDescent="0.25">
      <c r="C252" s="160"/>
      <c r="D252" s="160"/>
      <c r="E252" s="160"/>
      <c r="F252" s="160"/>
    </row>
    <row r="253" spans="3:6" ht="15" customHeight="1" x14ac:dyDescent="0.25">
      <c r="C253" s="160"/>
      <c r="D253" s="160"/>
      <c r="E253" s="160"/>
      <c r="F253" s="160"/>
    </row>
    <row r="254" spans="3:6" ht="15" customHeight="1" x14ac:dyDescent="0.25">
      <c r="C254" s="160"/>
      <c r="D254" s="160"/>
      <c r="E254" s="160"/>
      <c r="F254" s="160"/>
    </row>
    <row r="255" spans="3:6" ht="15" customHeight="1" x14ac:dyDescent="0.25">
      <c r="C255" s="160"/>
      <c r="D255" s="160"/>
      <c r="E255" s="160"/>
      <c r="F255" s="160"/>
    </row>
    <row r="256" spans="3:6" ht="15" customHeight="1" x14ac:dyDescent="0.25">
      <c r="C256" s="160"/>
      <c r="D256" s="160"/>
      <c r="E256" s="160"/>
      <c r="F256" s="160"/>
    </row>
    <row r="257" spans="3:6" ht="15" customHeight="1" x14ac:dyDescent="0.25">
      <c r="C257" s="160"/>
      <c r="D257" s="160"/>
      <c r="E257" s="160"/>
      <c r="F257" s="160"/>
    </row>
    <row r="258" spans="3:6" ht="15" customHeight="1" x14ac:dyDescent="0.25">
      <c r="C258" s="160"/>
      <c r="D258" s="160"/>
      <c r="E258" s="160"/>
      <c r="F258" s="160"/>
    </row>
    <row r="259" spans="3:6" ht="15" customHeight="1" x14ac:dyDescent="0.25">
      <c r="C259" s="160"/>
      <c r="D259" s="160"/>
      <c r="E259" s="160"/>
      <c r="F259" s="160"/>
    </row>
    <row r="260" spans="3:6" ht="15" customHeight="1" x14ac:dyDescent="0.25">
      <c r="C260" s="160"/>
      <c r="D260" s="160"/>
      <c r="E260" s="160"/>
      <c r="F260" s="160"/>
    </row>
    <row r="261" spans="3:6" ht="15" customHeight="1" x14ac:dyDescent="0.25">
      <c r="C261" s="160"/>
      <c r="D261" s="160"/>
      <c r="E261" s="160"/>
      <c r="F261" s="160"/>
    </row>
    <row r="262" spans="3:6" ht="15" customHeight="1" x14ac:dyDescent="0.25">
      <c r="C262" s="160"/>
      <c r="D262" s="160"/>
      <c r="E262" s="160"/>
      <c r="F262" s="160"/>
    </row>
    <row r="263" spans="3:6" ht="15" customHeight="1" x14ac:dyDescent="0.25">
      <c r="C263" s="160"/>
      <c r="D263" s="160"/>
      <c r="E263" s="160"/>
      <c r="F263" s="160"/>
    </row>
    <row r="264" spans="3:6" ht="15" customHeight="1" x14ac:dyDescent="0.25">
      <c r="C264" s="160"/>
      <c r="D264" s="160"/>
      <c r="E264" s="160"/>
      <c r="F264" s="160"/>
    </row>
    <row r="265" spans="3:6" ht="15" customHeight="1" x14ac:dyDescent="0.25">
      <c r="C265" s="160"/>
      <c r="D265" s="160"/>
      <c r="E265" s="160"/>
      <c r="F265" s="160"/>
    </row>
    <row r="266" spans="3:6" ht="15" customHeight="1" x14ac:dyDescent="0.25">
      <c r="C266" s="160"/>
      <c r="D266" s="160"/>
      <c r="E266" s="160"/>
      <c r="F266" s="160"/>
    </row>
    <row r="267" spans="3:6" ht="15" customHeight="1" x14ac:dyDescent="0.25">
      <c r="C267" s="160"/>
      <c r="D267" s="160"/>
      <c r="E267" s="160"/>
      <c r="F267" s="160"/>
    </row>
    <row r="268" spans="3:6" ht="15" customHeight="1" x14ac:dyDescent="0.25">
      <c r="C268" s="160"/>
      <c r="D268" s="160"/>
      <c r="E268" s="160"/>
      <c r="F268" s="160"/>
    </row>
    <row r="269" spans="3:6" ht="15" customHeight="1" x14ac:dyDescent="0.25">
      <c r="C269" s="160"/>
      <c r="D269" s="160"/>
      <c r="E269" s="160"/>
      <c r="F269" s="160"/>
    </row>
    <row r="270" spans="3:6" ht="15" customHeight="1" x14ac:dyDescent="0.25">
      <c r="C270" s="160"/>
      <c r="D270" s="160"/>
      <c r="E270" s="160"/>
      <c r="F270" s="160"/>
    </row>
    <row r="271" spans="3:6" ht="15" customHeight="1" x14ac:dyDescent="0.25">
      <c r="C271" s="160"/>
      <c r="D271" s="160"/>
      <c r="E271" s="160"/>
      <c r="F271" s="160"/>
    </row>
    <row r="272" spans="3:6" ht="15" customHeight="1" x14ac:dyDescent="0.25">
      <c r="C272" s="160"/>
      <c r="D272" s="160"/>
      <c r="E272" s="160"/>
      <c r="F272" s="160"/>
    </row>
    <row r="273" spans="3:6" ht="15" customHeight="1" x14ac:dyDescent="0.25">
      <c r="C273" s="160"/>
      <c r="D273" s="160"/>
      <c r="E273" s="160"/>
      <c r="F273" s="160"/>
    </row>
    <row r="274" spans="3:6" ht="15" customHeight="1" x14ac:dyDescent="0.25">
      <c r="C274" s="160"/>
      <c r="D274" s="160"/>
      <c r="E274" s="160"/>
      <c r="F274" s="160"/>
    </row>
    <row r="275" spans="3:6" ht="15" customHeight="1" x14ac:dyDescent="0.25">
      <c r="C275" s="160"/>
      <c r="D275" s="160"/>
      <c r="E275" s="160"/>
      <c r="F275" s="160"/>
    </row>
    <row r="276" spans="3:6" ht="15" customHeight="1" x14ac:dyDescent="0.25">
      <c r="C276" s="160"/>
      <c r="D276" s="160"/>
      <c r="E276" s="160"/>
      <c r="F276" s="160"/>
    </row>
    <row r="277" spans="3:6" ht="15" customHeight="1" x14ac:dyDescent="0.25">
      <c r="C277" s="160"/>
      <c r="D277" s="160"/>
      <c r="E277" s="160"/>
      <c r="F277" s="160"/>
    </row>
    <row r="278" spans="3:6" ht="15" customHeight="1" x14ac:dyDescent="0.25">
      <c r="C278" s="160"/>
      <c r="D278" s="160"/>
      <c r="E278" s="160"/>
      <c r="F278" s="160"/>
    </row>
    <row r="279" spans="3:6" ht="15" customHeight="1" x14ac:dyDescent="0.25">
      <c r="C279" s="160"/>
      <c r="D279" s="160"/>
      <c r="E279" s="160"/>
      <c r="F279" s="160"/>
    </row>
    <row r="280" spans="3:6" ht="15" customHeight="1" x14ac:dyDescent="0.25">
      <c r="C280" s="160"/>
      <c r="D280" s="160"/>
      <c r="E280" s="160"/>
      <c r="F280" s="160"/>
    </row>
    <row r="281" spans="3:6" ht="15" customHeight="1" x14ac:dyDescent="0.25">
      <c r="C281" s="160"/>
      <c r="D281" s="160"/>
      <c r="E281" s="160"/>
      <c r="F281" s="160"/>
    </row>
    <row r="282" spans="3:6" ht="15" customHeight="1" x14ac:dyDescent="0.25">
      <c r="C282" s="160"/>
      <c r="D282" s="160"/>
      <c r="E282" s="160"/>
      <c r="F282" s="160"/>
    </row>
    <row r="283" spans="3:6" ht="15" customHeight="1" x14ac:dyDescent="0.25">
      <c r="C283" s="160"/>
      <c r="D283" s="160"/>
      <c r="E283" s="160"/>
      <c r="F283" s="160"/>
    </row>
    <row r="284" spans="3:6" ht="15" customHeight="1" x14ac:dyDescent="0.25">
      <c r="C284" s="160"/>
      <c r="D284" s="160"/>
      <c r="E284" s="160"/>
      <c r="F284" s="160"/>
    </row>
    <row r="285" spans="3:6" ht="15" customHeight="1" x14ac:dyDescent="0.25">
      <c r="C285" s="160"/>
      <c r="D285" s="160"/>
      <c r="E285" s="160"/>
      <c r="F285" s="160"/>
    </row>
    <row r="286" spans="3:6" ht="15" customHeight="1" x14ac:dyDescent="0.25">
      <c r="C286" s="160"/>
      <c r="D286" s="160"/>
      <c r="E286" s="160"/>
      <c r="F286" s="160"/>
    </row>
    <row r="287" spans="3:6" ht="15" customHeight="1" x14ac:dyDescent="0.25">
      <c r="C287" s="160"/>
      <c r="D287" s="160"/>
      <c r="E287" s="160"/>
      <c r="F287" s="160"/>
    </row>
    <row r="288" spans="3:6" ht="15" customHeight="1" x14ac:dyDescent="0.25">
      <c r="C288" s="160"/>
      <c r="D288" s="160"/>
      <c r="E288" s="160"/>
      <c r="F288" s="160"/>
    </row>
    <row r="289" spans="3:6" ht="15" customHeight="1" x14ac:dyDescent="0.25">
      <c r="C289" s="160"/>
      <c r="D289" s="160"/>
      <c r="E289" s="160"/>
      <c r="F289" s="160"/>
    </row>
    <row r="290" spans="3:6" ht="15" customHeight="1" x14ac:dyDescent="0.25">
      <c r="C290" s="160"/>
      <c r="D290" s="160"/>
      <c r="E290" s="160"/>
      <c r="F290" s="160"/>
    </row>
    <row r="291" spans="3:6" ht="15" customHeight="1" x14ac:dyDescent="0.25">
      <c r="C291" s="160"/>
      <c r="D291" s="160"/>
      <c r="E291" s="160"/>
      <c r="F291" s="160"/>
    </row>
    <row r="292" spans="3:6" ht="15" customHeight="1" x14ac:dyDescent="0.25">
      <c r="C292" s="160"/>
      <c r="D292" s="160"/>
      <c r="E292" s="160"/>
      <c r="F292" s="160"/>
    </row>
    <row r="293" spans="3:6" ht="15" customHeight="1" x14ac:dyDescent="0.25">
      <c r="C293" s="160"/>
      <c r="D293" s="160"/>
      <c r="E293" s="160"/>
      <c r="F293" s="160"/>
    </row>
    <row r="294" spans="3:6" ht="15" customHeight="1" x14ac:dyDescent="0.25">
      <c r="C294" s="160"/>
      <c r="D294" s="160"/>
      <c r="E294" s="160"/>
      <c r="F294" s="160"/>
    </row>
    <row r="295" spans="3:6" ht="15" customHeight="1" x14ac:dyDescent="0.25">
      <c r="C295" s="160"/>
      <c r="D295" s="160"/>
      <c r="E295" s="160"/>
      <c r="F295" s="160"/>
    </row>
    <row r="296" spans="3:6" ht="15" customHeight="1" x14ac:dyDescent="0.25">
      <c r="C296" s="160"/>
      <c r="D296" s="160"/>
      <c r="E296" s="160"/>
      <c r="F296" s="160"/>
    </row>
    <row r="297" spans="3:6" ht="15" customHeight="1" x14ac:dyDescent="0.25">
      <c r="C297" s="160"/>
      <c r="D297" s="160"/>
      <c r="E297" s="160"/>
      <c r="F297" s="160"/>
    </row>
    <row r="298" spans="3:6" ht="15" customHeight="1" x14ac:dyDescent="0.25">
      <c r="C298" s="160"/>
      <c r="D298" s="160"/>
      <c r="E298" s="160"/>
      <c r="F298" s="160"/>
    </row>
    <row r="299" spans="3:6" ht="15" customHeight="1" x14ac:dyDescent="0.25">
      <c r="C299" s="160"/>
      <c r="D299" s="160"/>
      <c r="E299" s="160"/>
      <c r="F299" s="160"/>
    </row>
    <row r="300" spans="3:6" ht="15" customHeight="1" x14ac:dyDescent="0.25">
      <c r="C300" s="160"/>
      <c r="D300" s="160"/>
      <c r="E300" s="160"/>
      <c r="F300" s="160"/>
    </row>
    <row r="301" spans="3:6" ht="15" customHeight="1" x14ac:dyDescent="0.25">
      <c r="C301" s="160"/>
      <c r="D301" s="160"/>
      <c r="E301" s="160"/>
      <c r="F301" s="160"/>
    </row>
    <row r="302" spans="3:6" ht="15" customHeight="1" x14ac:dyDescent="0.25">
      <c r="C302" s="160"/>
      <c r="D302" s="160"/>
      <c r="E302" s="160"/>
      <c r="F302" s="160"/>
    </row>
    <row r="303" spans="3:6" ht="15" customHeight="1" x14ac:dyDescent="0.25">
      <c r="C303" s="160"/>
      <c r="D303" s="160"/>
      <c r="E303" s="160"/>
      <c r="F303" s="160"/>
    </row>
    <row r="304" spans="3:6" ht="15" customHeight="1" x14ac:dyDescent="0.25">
      <c r="C304" s="160"/>
      <c r="D304" s="160"/>
      <c r="E304" s="160"/>
      <c r="F304" s="160"/>
    </row>
    <row r="305" spans="3:6" ht="15" customHeight="1" x14ac:dyDescent="0.25">
      <c r="C305" s="160"/>
      <c r="D305" s="160"/>
      <c r="E305" s="160"/>
      <c r="F305" s="160"/>
    </row>
    <row r="306" spans="3:6" ht="15" customHeight="1" x14ac:dyDescent="0.25">
      <c r="C306" s="160"/>
      <c r="D306" s="160"/>
      <c r="E306" s="160"/>
      <c r="F306" s="160"/>
    </row>
    <row r="307" spans="3:6" ht="15" customHeight="1" x14ac:dyDescent="0.25">
      <c r="C307" s="160"/>
      <c r="D307" s="160"/>
      <c r="E307" s="160"/>
      <c r="F307" s="160"/>
    </row>
    <row r="308" spans="3:6" ht="15" customHeight="1" x14ac:dyDescent="0.25">
      <c r="C308" s="160"/>
      <c r="D308" s="160"/>
      <c r="E308" s="160"/>
      <c r="F308" s="160"/>
    </row>
    <row r="309" spans="3:6" ht="15" customHeight="1" x14ac:dyDescent="0.25">
      <c r="C309" s="160"/>
      <c r="D309" s="160"/>
      <c r="E309" s="160"/>
      <c r="F309" s="160"/>
    </row>
    <row r="310" spans="3:6" ht="15" customHeight="1" x14ac:dyDescent="0.25">
      <c r="C310" s="160"/>
      <c r="D310" s="160"/>
      <c r="E310" s="160"/>
      <c r="F310" s="160"/>
    </row>
    <row r="311" spans="3:6" ht="15" customHeight="1" x14ac:dyDescent="0.25">
      <c r="C311" s="160"/>
      <c r="D311" s="160"/>
      <c r="E311" s="160"/>
      <c r="F311" s="160"/>
    </row>
    <row r="312" spans="3:6" ht="15" customHeight="1" x14ac:dyDescent="0.25">
      <c r="C312" s="160"/>
      <c r="D312" s="160"/>
      <c r="E312" s="160"/>
      <c r="F312" s="160"/>
    </row>
    <row r="313" spans="3:6" ht="15" customHeight="1" x14ac:dyDescent="0.25">
      <c r="C313" s="160"/>
      <c r="D313" s="160"/>
      <c r="E313" s="160"/>
      <c r="F313" s="160"/>
    </row>
    <row r="314" spans="3:6" ht="15" customHeight="1" x14ac:dyDescent="0.25">
      <c r="C314" s="160"/>
      <c r="D314" s="160"/>
      <c r="E314" s="160"/>
      <c r="F314" s="160"/>
    </row>
    <row r="315" spans="3:6" ht="15" customHeight="1" x14ac:dyDescent="0.25">
      <c r="C315" s="160"/>
      <c r="D315" s="160"/>
      <c r="E315" s="160"/>
      <c r="F315" s="160"/>
    </row>
    <row r="316" spans="3:6" ht="15" customHeight="1" x14ac:dyDescent="0.25">
      <c r="C316" s="160"/>
      <c r="D316" s="160"/>
      <c r="E316" s="160"/>
      <c r="F316" s="160"/>
    </row>
    <row r="317" spans="3:6" ht="15" customHeight="1" x14ac:dyDescent="0.25">
      <c r="C317" s="160"/>
      <c r="D317" s="160"/>
      <c r="E317" s="160"/>
      <c r="F317" s="160"/>
    </row>
    <row r="318" spans="3:6" ht="15" customHeight="1" x14ac:dyDescent="0.25">
      <c r="C318" s="160"/>
      <c r="D318" s="160"/>
      <c r="E318" s="160"/>
      <c r="F318" s="160"/>
    </row>
    <row r="319" spans="3:6" ht="15" customHeight="1" x14ac:dyDescent="0.25">
      <c r="C319" s="160"/>
      <c r="D319" s="160"/>
      <c r="E319" s="160"/>
      <c r="F319" s="160"/>
    </row>
    <row r="320" spans="3:6" ht="15" customHeight="1" x14ac:dyDescent="0.25">
      <c r="C320" s="160"/>
      <c r="D320" s="160"/>
      <c r="E320" s="160"/>
      <c r="F320" s="160"/>
    </row>
    <row r="321" spans="3:6" ht="15" customHeight="1" x14ac:dyDescent="0.25">
      <c r="C321" s="160"/>
      <c r="D321" s="160"/>
      <c r="E321" s="160"/>
      <c r="F321" s="160"/>
    </row>
    <row r="322" spans="3:6" ht="15" customHeight="1" x14ac:dyDescent="0.25">
      <c r="C322" s="160"/>
      <c r="D322" s="160"/>
      <c r="E322" s="160"/>
      <c r="F322" s="160"/>
    </row>
    <row r="323" spans="3:6" ht="15" customHeight="1" x14ac:dyDescent="0.25">
      <c r="C323" s="160"/>
      <c r="D323" s="160"/>
      <c r="E323" s="160"/>
      <c r="F323" s="160"/>
    </row>
    <row r="324" spans="3:6" ht="15" customHeight="1" x14ac:dyDescent="0.25">
      <c r="C324" s="160"/>
      <c r="D324" s="160"/>
      <c r="E324" s="160"/>
      <c r="F324" s="160"/>
    </row>
    <row r="325" spans="3:6" ht="15" customHeight="1" x14ac:dyDescent="0.25">
      <c r="C325" s="160"/>
      <c r="D325" s="160"/>
      <c r="E325" s="160"/>
      <c r="F325" s="160"/>
    </row>
    <row r="326" spans="3:6" ht="15" customHeight="1" x14ac:dyDescent="0.25">
      <c r="C326" s="160"/>
      <c r="D326" s="160"/>
      <c r="E326" s="160"/>
      <c r="F326" s="160"/>
    </row>
    <row r="327" spans="3:6" ht="15" customHeight="1" x14ac:dyDescent="0.25">
      <c r="C327" s="160"/>
      <c r="D327" s="160"/>
      <c r="E327" s="160"/>
      <c r="F327" s="160"/>
    </row>
    <row r="328" spans="3:6" ht="15" customHeight="1" x14ac:dyDescent="0.25">
      <c r="C328" s="160"/>
      <c r="D328" s="160"/>
      <c r="E328" s="160"/>
      <c r="F328" s="160"/>
    </row>
    <row r="329" spans="3:6" ht="15" customHeight="1" x14ac:dyDescent="0.25">
      <c r="C329" s="160"/>
      <c r="D329" s="160"/>
      <c r="E329" s="160"/>
      <c r="F329" s="160"/>
    </row>
    <row r="330" spans="3:6" ht="15" customHeight="1" x14ac:dyDescent="0.25">
      <c r="C330" s="160"/>
      <c r="D330" s="160"/>
      <c r="E330" s="160"/>
      <c r="F330" s="160"/>
    </row>
    <row r="331" spans="3:6" ht="15" customHeight="1" x14ac:dyDescent="0.25">
      <c r="C331" s="160"/>
      <c r="D331" s="160"/>
      <c r="E331" s="160"/>
      <c r="F331" s="160"/>
    </row>
    <row r="332" spans="3:6" ht="15" customHeight="1" x14ac:dyDescent="0.25">
      <c r="C332" s="160"/>
      <c r="D332" s="160"/>
      <c r="E332" s="160"/>
      <c r="F332" s="160"/>
    </row>
    <row r="333" spans="3:6" ht="15" customHeight="1" x14ac:dyDescent="0.25">
      <c r="C333" s="160"/>
      <c r="D333" s="160"/>
      <c r="E333" s="160"/>
      <c r="F333" s="160"/>
    </row>
    <row r="334" spans="3:6" ht="15" customHeight="1" x14ac:dyDescent="0.25">
      <c r="C334" s="160"/>
      <c r="D334" s="160"/>
      <c r="E334" s="160"/>
      <c r="F334" s="160"/>
    </row>
    <row r="335" spans="3:6" ht="15" customHeight="1" x14ac:dyDescent="0.25">
      <c r="C335" s="160"/>
      <c r="D335" s="160"/>
      <c r="E335" s="160"/>
      <c r="F335" s="160"/>
    </row>
    <row r="336" spans="3:6" ht="15" customHeight="1" x14ac:dyDescent="0.25">
      <c r="C336" s="160"/>
      <c r="D336" s="160"/>
      <c r="E336" s="160"/>
      <c r="F336" s="160"/>
    </row>
    <row r="337" spans="3:6" ht="15" customHeight="1" x14ac:dyDescent="0.25">
      <c r="C337" s="160"/>
      <c r="D337" s="160"/>
      <c r="E337" s="160"/>
      <c r="F337" s="160"/>
    </row>
    <row r="338" spans="3:6" ht="15" customHeight="1" x14ac:dyDescent="0.25">
      <c r="C338" s="160"/>
      <c r="D338" s="160"/>
      <c r="E338" s="160"/>
      <c r="F338" s="160"/>
    </row>
    <row r="339" spans="3:6" ht="15" customHeight="1" x14ac:dyDescent="0.25">
      <c r="C339" s="160"/>
      <c r="D339" s="160"/>
      <c r="E339" s="160"/>
      <c r="F339" s="160"/>
    </row>
    <row r="340" spans="3:6" ht="15" customHeight="1" x14ac:dyDescent="0.25">
      <c r="C340" s="160"/>
      <c r="D340" s="160"/>
      <c r="E340" s="160"/>
      <c r="F340" s="160"/>
    </row>
    <row r="341" spans="3:6" ht="15" customHeight="1" x14ac:dyDescent="0.25">
      <c r="C341" s="160"/>
      <c r="D341" s="160"/>
      <c r="E341" s="160"/>
      <c r="F341" s="160"/>
    </row>
    <row r="342" spans="3:6" ht="15" customHeight="1" x14ac:dyDescent="0.25">
      <c r="C342" s="160"/>
      <c r="D342" s="160"/>
      <c r="E342" s="160"/>
      <c r="F342" s="160"/>
    </row>
    <row r="343" spans="3:6" ht="15" customHeight="1" x14ac:dyDescent="0.25">
      <c r="C343" s="160"/>
      <c r="D343" s="160"/>
      <c r="E343" s="160"/>
      <c r="F343" s="160"/>
    </row>
    <row r="344" spans="3:6" ht="15" customHeight="1" x14ac:dyDescent="0.25">
      <c r="C344" s="160"/>
      <c r="D344" s="160"/>
      <c r="E344" s="160"/>
      <c r="F344" s="160"/>
    </row>
    <row r="345" spans="3:6" ht="15" customHeight="1" x14ac:dyDescent="0.25">
      <c r="C345" s="160"/>
      <c r="D345" s="160"/>
      <c r="E345" s="160"/>
      <c r="F345" s="160"/>
    </row>
    <row r="346" spans="3:6" ht="15" customHeight="1" x14ac:dyDescent="0.25">
      <c r="C346" s="160"/>
      <c r="D346" s="160"/>
      <c r="E346" s="160"/>
      <c r="F346" s="160"/>
    </row>
    <row r="347" spans="3:6" ht="15" customHeight="1" x14ac:dyDescent="0.25">
      <c r="C347" s="160"/>
      <c r="D347" s="160"/>
      <c r="E347" s="160"/>
      <c r="F347" s="160"/>
    </row>
    <row r="348" spans="3:6" ht="15" customHeight="1" x14ac:dyDescent="0.25">
      <c r="C348" s="160"/>
      <c r="D348" s="160"/>
      <c r="E348" s="160"/>
      <c r="F348" s="160"/>
    </row>
    <row r="349" spans="3:6" ht="15" customHeight="1" x14ac:dyDescent="0.25">
      <c r="C349" s="160"/>
      <c r="D349" s="160"/>
      <c r="E349" s="160"/>
      <c r="F349" s="160"/>
    </row>
    <row r="350" spans="3:6" ht="15" customHeight="1" x14ac:dyDescent="0.25">
      <c r="C350" s="160"/>
      <c r="D350" s="160"/>
      <c r="E350" s="160"/>
      <c r="F350" s="160"/>
    </row>
    <row r="351" spans="3:6" ht="15" customHeight="1" x14ac:dyDescent="0.25">
      <c r="C351" s="160"/>
      <c r="D351" s="160"/>
      <c r="E351" s="160"/>
      <c r="F351" s="160"/>
    </row>
    <row r="352" spans="3:6" ht="15" customHeight="1" x14ac:dyDescent="0.25">
      <c r="C352" s="160"/>
      <c r="D352" s="160"/>
      <c r="E352" s="160"/>
      <c r="F352" s="160"/>
    </row>
    <row r="353" spans="3:6" ht="15" customHeight="1" x14ac:dyDescent="0.25">
      <c r="C353" s="160"/>
      <c r="D353" s="160"/>
      <c r="E353" s="160"/>
      <c r="F353" s="160"/>
    </row>
    <row r="354" spans="3:6" ht="15" customHeight="1" x14ac:dyDescent="0.25">
      <c r="C354" s="160"/>
      <c r="D354" s="160"/>
      <c r="E354" s="160"/>
      <c r="F354" s="160"/>
    </row>
    <row r="355" spans="3:6" ht="15" customHeight="1" x14ac:dyDescent="0.25">
      <c r="C355" s="160"/>
      <c r="D355" s="160"/>
      <c r="E355" s="160"/>
      <c r="F355" s="160"/>
    </row>
    <row r="356" spans="3:6" ht="15" customHeight="1" x14ac:dyDescent="0.25">
      <c r="C356" s="160"/>
      <c r="D356" s="160"/>
      <c r="E356" s="160"/>
      <c r="F356" s="160"/>
    </row>
    <row r="357" spans="3:6" ht="15" customHeight="1" x14ac:dyDescent="0.25">
      <c r="C357" s="160"/>
      <c r="D357" s="160"/>
      <c r="E357" s="160"/>
      <c r="F357" s="160"/>
    </row>
    <row r="358" spans="3:6" ht="15" customHeight="1" x14ac:dyDescent="0.25">
      <c r="C358" s="160"/>
      <c r="D358" s="160"/>
      <c r="E358" s="160"/>
      <c r="F358" s="160"/>
    </row>
    <row r="359" spans="3:6" ht="15" customHeight="1" x14ac:dyDescent="0.25">
      <c r="C359" s="160"/>
      <c r="D359" s="160"/>
      <c r="E359" s="160"/>
      <c r="F359" s="160"/>
    </row>
    <row r="360" spans="3:6" ht="15" customHeight="1" x14ac:dyDescent="0.25">
      <c r="C360" s="160"/>
      <c r="D360" s="160"/>
      <c r="E360" s="160"/>
      <c r="F360" s="160"/>
    </row>
    <row r="361" spans="3:6" ht="15" customHeight="1" x14ac:dyDescent="0.25">
      <c r="C361" s="160"/>
      <c r="D361" s="160"/>
      <c r="E361" s="160"/>
      <c r="F361" s="160"/>
    </row>
    <row r="362" spans="3:6" ht="15" customHeight="1" x14ac:dyDescent="0.25">
      <c r="C362" s="160"/>
      <c r="D362" s="160"/>
      <c r="E362" s="160"/>
      <c r="F362" s="160"/>
    </row>
    <row r="363" spans="3:6" ht="15" customHeight="1" x14ac:dyDescent="0.25">
      <c r="C363" s="160"/>
      <c r="D363" s="160"/>
      <c r="E363" s="160"/>
      <c r="F363" s="160"/>
    </row>
    <row r="364" spans="3:6" ht="15" customHeight="1" x14ac:dyDescent="0.25">
      <c r="C364" s="160"/>
      <c r="D364" s="160"/>
      <c r="E364" s="160"/>
      <c r="F364" s="160"/>
    </row>
    <row r="365" spans="3:6" ht="15" customHeight="1" x14ac:dyDescent="0.25">
      <c r="C365" s="160"/>
      <c r="D365" s="160"/>
      <c r="E365" s="160"/>
      <c r="F365" s="160"/>
    </row>
    <row r="366" spans="3:6" ht="15" customHeight="1" x14ac:dyDescent="0.25">
      <c r="C366" s="160"/>
      <c r="D366" s="160"/>
      <c r="E366" s="160"/>
      <c r="F366" s="160"/>
    </row>
    <row r="367" spans="3:6" ht="15" customHeight="1" x14ac:dyDescent="0.25">
      <c r="C367" s="160"/>
      <c r="D367" s="160"/>
      <c r="E367" s="160"/>
      <c r="F367" s="160"/>
    </row>
    <row r="368" spans="3:6" ht="15" customHeight="1" x14ac:dyDescent="0.25">
      <c r="C368" s="160"/>
      <c r="D368" s="160"/>
      <c r="E368" s="160"/>
      <c r="F368" s="160"/>
    </row>
    <row r="369" spans="3:6" ht="15" customHeight="1" x14ac:dyDescent="0.25">
      <c r="C369" s="160"/>
      <c r="D369" s="160"/>
      <c r="E369" s="160"/>
      <c r="F369" s="160"/>
    </row>
    <row r="370" spans="3:6" ht="15" customHeight="1" x14ac:dyDescent="0.25">
      <c r="C370" s="160"/>
      <c r="D370" s="160"/>
      <c r="E370" s="160"/>
      <c r="F370" s="160"/>
    </row>
    <row r="371" spans="3:6" ht="15" customHeight="1" x14ac:dyDescent="0.25">
      <c r="C371" s="160"/>
      <c r="D371" s="160"/>
      <c r="E371" s="160"/>
      <c r="F371" s="160"/>
    </row>
    <row r="372" spans="3:6" ht="15" customHeight="1" x14ac:dyDescent="0.25">
      <c r="C372" s="160"/>
      <c r="D372" s="160"/>
      <c r="E372" s="160"/>
      <c r="F372" s="160"/>
    </row>
    <row r="373" spans="3:6" ht="15" customHeight="1" x14ac:dyDescent="0.25">
      <c r="C373" s="160"/>
      <c r="D373" s="160"/>
      <c r="E373" s="160"/>
      <c r="F373" s="160"/>
    </row>
    <row r="374" spans="3:6" ht="15" customHeight="1" x14ac:dyDescent="0.25">
      <c r="C374" s="160"/>
      <c r="D374" s="160"/>
      <c r="E374" s="160"/>
      <c r="F374" s="160"/>
    </row>
    <row r="375" spans="3:6" ht="15" customHeight="1" x14ac:dyDescent="0.25">
      <c r="C375" s="160"/>
      <c r="D375" s="160"/>
      <c r="E375" s="160"/>
      <c r="F375" s="160"/>
    </row>
    <row r="376" spans="3:6" ht="15" customHeight="1" x14ac:dyDescent="0.25">
      <c r="C376" s="160"/>
      <c r="D376" s="160"/>
      <c r="E376" s="160"/>
      <c r="F376" s="160"/>
    </row>
    <row r="377" spans="3:6" ht="15" customHeight="1" x14ac:dyDescent="0.25">
      <c r="C377" s="160"/>
      <c r="D377" s="160"/>
      <c r="E377" s="160"/>
      <c r="F377" s="160"/>
    </row>
    <row r="378" spans="3:6" ht="15" customHeight="1" x14ac:dyDescent="0.25">
      <c r="C378" s="160"/>
      <c r="D378" s="160"/>
      <c r="E378" s="160"/>
      <c r="F378" s="160"/>
    </row>
    <row r="379" spans="3:6" ht="15" customHeight="1" x14ac:dyDescent="0.25">
      <c r="C379" s="160"/>
      <c r="D379" s="160"/>
      <c r="E379" s="160"/>
      <c r="F379" s="160"/>
    </row>
    <row r="380" spans="3:6" ht="15" customHeight="1" x14ac:dyDescent="0.25">
      <c r="C380" s="160"/>
      <c r="D380" s="160"/>
      <c r="E380" s="160"/>
      <c r="F380" s="160"/>
    </row>
    <row r="381" spans="3:6" ht="15" customHeight="1" x14ac:dyDescent="0.25">
      <c r="C381" s="160"/>
      <c r="D381" s="160"/>
      <c r="E381" s="160"/>
      <c r="F381" s="160"/>
    </row>
    <row r="382" spans="3:6" ht="15" customHeight="1" x14ac:dyDescent="0.25">
      <c r="C382" s="160"/>
      <c r="D382" s="160"/>
      <c r="E382" s="160"/>
      <c r="F382" s="160"/>
    </row>
    <row r="383" spans="3:6" ht="15" customHeight="1" x14ac:dyDescent="0.25">
      <c r="C383" s="160"/>
      <c r="D383" s="160"/>
      <c r="E383" s="160"/>
      <c r="F383" s="160"/>
    </row>
    <row r="384" spans="3:6" ht="15" customHeight="1" x14ac:dyDescent="0.25">
      <c r="C384" s="160"/>
      <c r="D384" s="160"/>
      <c r="E384" s="160"/>
      <c r="F384" s="160"/>
    </row>
    <row r="385" spans="3:6" ht="15" customHeight="1" x14ac:dyDescent="0.25">
      <c r="C385" s="160"/>
      <c r="D385" s="160"/>
      <c r="E385" s="160"/>
      <c r="F385" s="160"/>
    </row>
    <row r="386" spans="3:6" ht="15" customHeight="1" x14ac:dyDescent="0.25">
      <c r="C386" s="160"/>
      <c r="D386" s="160"/>
      <c r="E386" s="160"/>
      <c r="F386" s="160"/>
    </row>
    <row r="387" spans="3:6" ht="15" customHeight="1" x14ac:dyDescent="0.25">
      <c r="C387" s="160"/>
      <c r="D387" s="160"/>
      <c r="E387" s="160"/>
      <c r="F387" s="160"/>
    </row>
    <row r="388" spans="3:6" ht="15" customHeight="1" x14ac:dyDescent="0.25">
      <c r="C388" s="160"/>
      <c r="D388" s="160"/>
      <c r="E388" s="160"/>
      <c r="F388" s="160"/>
    </row>
    <row r="389" spans="3:6" ht="15" customHeight="1" x14ac:dyDescent="0.25">
      <c r="C389" s="160"/>
      <c r="D389" s="160"/>
      <c r="E389" s="160"/>
      <c r="F389" s="160"/>
    </row>
    <row r="390" spans="3:6" ht="15" customHeight="1" x14ac:dyDescent="0.25">
      <c r="C390" s="160"/>
      <c r="D390" s="160"/>
      <c r="E390" s="160"/>
      <c r="F390" s="160"/>
    </row>
    <row r="391" spans="3:6" ht="15" customHeight="1" x14ac:dyDescent="0.25">
      <c r="C391" s="160"/>
      <c r="D391" s="160"/>
      <c r="E391" s="160"/>
      <c r="F391" s="160"/>
    </row>
    <row r="392" spans="3:6" ht="15" customHeight="1" x14ac:dyDescent="0.25">
      <c r="C392" s="160"/>
      <c r="D392" s="160"/>
      <c r="E392" s="160"/>
      <c r="F392" s="160"/>
    </row>
    <row r="393" spans="3:6" ht="15" customHeight="1" x14ac:dyDescent="0.25">
      <c r="C393" s="160"/>
      <c r="D393" s="160"/>
      <c r="E393" s="160"/>
      <c r="F393" s="160"/>
    </row>
    <row r="394" spans="3:6" ht="15" customHeight="1" x14ac:dyDescent="0.25">
      <c r="C394" s="160"/>
      <c r="D394" s="160"/>
      <c r="E394" s="160"/>
      <c r="F394" s="160"/>
    </row>
    <row r="395" spans="3:6" ht="15" customHeight="1" x14ac:dyDescent="0.25">
      <c r="C395" s="160"/>
      <c r="D395" s="160"/>
      <c r="E395" s="160"/>
      <c r="F395" s="160"/>
    </row>
    <row r="396" spans="3:6" ht="15" customHeight="1" x14ac:dyDescent="0.25">
      <c r="C396" s="160"/>
      <c r="D396" s="160"/>
      <c r="E396" s="160"/>
      <c r="F396" s="160"/>
    </row>
    <row r="397" spans="3:6" ht="15" customHeight="1" x14ac:dyDescent="0.25">
      <c r="C397" s="160"/>
      <c r="D397" s="160"/>
      <c r="E397" s="160"/>
      <c r="F397" s="160"/>
    </row>
    <row r="398" spans="3:6" ht="15" customHeight="1" x14ac:dyDescent="0.25">
      <c r="C398" s="160"/>
      <c r="D398" s="160"/>
      <c r="E398" s="160"/>
      <c r="F398" s="160"/>
    </row>
    <row r="399" spans="3:6" ht="15" customHeight="1" x14ac:dyDescent="0.25">
      <c r="C399" s="160"/>
      <c r="D399" s="160"/>
      <c r="E399" s="160"/>
      <c r="F399" s="160"/>
    </row>
    <row r="400" spans="3:6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160"/>
    </row>
    <row r="885" spans="3:6" ht="15" customHeight="1" x14ac:dyDescent="0.25">
      <c r="C885" s="160"/>
      <c r="D885" s="160"/>
      <c r="E885" s="160"/>
      <c r="F885" s="160"/>
    </row>
    <row r="886" spans="3:6" ht="15" customHeight="1" x14ac:dyDescent="0.25">
      <c r="C886" s="160"/>
      <c r="D886" s="160"/>
      <c r="E886" s="160"/>
      <c r="F886" s="160"/>
    </row>
    <row r="887" spans="3:6" ht="15" customHeight="1" x14ac:dyDescent="0.25">
      <c r="C887" s="160"/>
      <c r="D887" s="160"/>
      <c r="E887" s="160"/>
      <c r="F887" s="160"/>
    </row>
    <row r="888" spans="3:6" ht="15" customHeight="1" x14ac:dyDescent="0.25">
      <c r="C888" s="160"/>
      <c r="D888" s="160"/>
      <c r="E888" s="160"/>
      <c r="F888" s="160"/>
    </row>
    <row r="889" spans="3:6" ht="15" customHeight="1" x14ac:dyDescent="0.25">
      <c r="C889" s="160"/>
      <c r="D889" s="160"/>
      <c r="E889" s="160"/>
      <c r="F889" s="160"/>
    </row>
    <row r="890" spans="3:6" ht="15" customHeight="1" x14ac:dyDescent="0.25">
      <c r="C890" s="160"/>
      <c r="D890" s="160"/>
      <c r="E890" s="160"/>
      <c r="F890" s="160"/>
    </row>
    <row r="891" spans="3:6" ht="15" customHeight="1" x14ac:dyDescent="0.25">
      <c r="C891" s="160"/>
      <c r="D891" s="160"/>
      <c r="E891" s="160"/>
      <c r="F891" s="160"/>
    </row>
    <row r="892" spans="3:6" ht="15" customHeight="1" x14ac:dyDescent="0.25">
      <c r="C892" s="160"/>
      <c r="D892" s="160"/>
      <c r="E892" s="160"/>
      <c r="F892" s="160"/>
    </row>
    <row r="893" spans="3:6" ht="15" customHeight="1" x14ac:dyDescent="0.25">
      <c r="C893" s="160"/>
      <c r="D893" s="160"/>
      <c r="E893" s="160"/>
      <c r="F893" s="160"/>
    </row>
    <row r="894" spans="3:6" ht="15" customHeight="1" x14ac:dyDescent="0.25">
      <c r="C894" s="160"/>
      <c r="D894" s="160"/>
      <c r="E894" s="160"/>
      <c r="F894" s="160"/>
    </row>
    <row r="895" spans="3:6" ht="15" customHeight="1" x14ac:dyDescent="0.25">
      <c r="C895" s="160"/>
      <c r="D895" s="160"/>
      <c r="E895" s="160"/>
      <c r="F895" s="160"/>
    </row>
    <row r="896" spans="3:6" ht="15" customHeight="1" x14ac:dyDescent="0.25">
      <c r="C896" s="160"/>
      <c r="D896" s="160"/>
      <c r="E896" s="160"/>
      <c r="F896" s="160"/>
    </row>
    <row r="897" spans="3:6" ht="15" customHeight="1" x14ac:dyDescent="0.25">
      <c r="C897" s="160"/>
      <c r="D897" s="160"/>
      <c r="E897" s="160"/>
      <c r="F897" s="160"/>
    </row>
    <row r="898" spans="3:6" ht="15" customHeight="1" x14ac:dyDescent="0.25">
      <c r="C898" s="160"/>
      <c r="D898" s="160"/>
      <c r="E898" s="160"/>
      <c r="F898" s="160"/>
    </row>
    <row r="899" spans="3:6" ht="15" customHeight="1" x14ac:dyDescent="0.25">
      <c r="C899" s="160"/>
      <c r="D899" s="160"/>
      <c r="E899" s="160"/>
      <c r="F899" s="160"/>
    </row>
    <row r="900" spans="3:6" ht="15" customHeight="1" x14ac:dyDescent="0.25">
      <c r="C900" s="160"/>
      <c r="D900" s="160"/>
      <c r="E900" s="160"/>
      <c r="F900" s="160"/>
    </row>
    <row r="901" spans="3:6" ht="15" customHeight="1" x14ac:dyDescent="0.25">
      <c r="C901" s="160"/>
      <c r="D901" s="160"/>
      <c r="E901" s="160"/>
      <c r="F901" s="160"/>
    </row>
    <row r="902" spans="3:6" ht="15" customHeight="1" x14ac:dyDescent="0.25">
      <c r="C902" s="160"/>
      <c r="D902" s="160"/>
      <c r="E902" s="160"/>
      <c r="F902" s="160"/>
    </row>
    <row r="903" spans="3:6" ht="15" customHeight="1" x14ac:dyDescent="0.25">
      <c r="C903" s="160"/>
      <c r="D903" s="160"/>
      <c r="E903" s="160"/>
      <c r="F903" s="160"/>
    </row>
    <row r="904" spans="3:6" ht="15" customHeight="1" x14ac:dyDescent="0.25">
      <c r="C904" s="160"/>
      <c r="D904" s="160"/>
      <c r="E904" s="160"/>
      <c r="F904" s="160"/>
    </row>
    <row r="905" spans="3:6" ht="15" customHeight="1" x14ac:dyDescent="0.25">
      <c r="C905" s="160"/>
      <c r="D905" s="160"/>
      <c r="E905" s="160"/>
      <c r="F905" s="160"/>
    </row>
    <row r="906" spans="3:6" ht="15" customHeight="1" x14ac:dyDescent="0.25">
      <c r="C906" s="160"/>
      <c r="D906" s="160"/>
      <c r="E906" s="160"/>
      <c r="F906" s="160"/>
    </row>
    <row r="907" spans="3:6" ht="15" customHeight="1" x14ac:dyDescent="0.25">
      <c r="C907" s="160"/>
      <c r="D907" s="160"/>
      <c r="E907" s="160"/>
      <c r="F907" s="160"/>
    </row>
    <row r="908" spans="3:6" ht="15" customHeight="1" x14ac:dyDescent="0.25">
      <c r="C908" s="160"/>
      <c r="D908" s="160"/>
      <c r="E908" s="160"/>
      <c r="F908" s="160"/>
    </row>
    <row r="909" spans="3:6" ht="15" customHeight="1" x14ac:dyDescent="0.25">
      <c r="C909" s="160"/>
      <c r="D909" s="160"/>
      <c r="E909" s="160"/>
      <c r="F909" s="160"/>
    </row>
    <row r="910" spans="3:6" ht="15" customHeight="1" x14ac:dyDescent="0.25">
      <c r="C910" s="160"/>
      <c r="D910" s="160"/>
      <c r="E910" s="160"/>
      <c r="F910" s="160"/>
    </row>
    <row r="911" spans="3:6" ht="15" customHeight="1" x14ac:dyDescent="0.25">
      <c r="C911" s="160"/>
      <c r="D911" s="160"/>
      <c r="E911" s="160"/>
      <c r="F911" s="160"/>
    </row>
    <row r="912" spans="3:6" ht="15" customHeight="1" x14ac:dyDescent="0.25">
      <c r="C912" s="160"/>
      <c r="D912" s="160"/>
      <c r="E912" s="160"/>
      <c r="F912" s="160"/>
    </row>
    <row r="913" spans="3:6" ht="15" customHeight="1" x14ac:dyDescent="0.25">
      <c r="C913" s="160"/>
      <c r="D913" s="160"/>
      <c r="E913" s="160"/>
      <c r="F913" s="160"/>
    </row>
    <row r="914" spans="3:6" ht="15" customHeight="1" x14ac:dyDescent="0.25">
      <c r="C914" s="160"/>
      <c r="D914" s="160"/>
      <c r="E914" s="160"/>
      <c r="F914" s="160"/>
    </row>
    <row r="915" spans="3:6" ht="15" customHeight="1" x14ac:dyDescent="0.25">
      <c r="C915" s="160"/>
      <c r="D915" s="160"/>
      <c r="E915" s="160"/>
      <c r="F915" s="160"/>
    </row>
    <row r="916" spans="3:6" ht="15" customHeight="1" x14ac:dyDescent="0.25">
      <c r="C916" s="160"/>
      <c r="D916" s="160"/>
      <c r="E916" s="160"/>
      <c r="F916" s="160"/>
    </row>
    <row r="917" spans="3:6" ht="15" customHeight="1" x14ac:dyDescent="0.25">
      <c r="C917" s="160"/>
      <c r="D917" s="160"/>
      <c r="E917" s="160"/>
      <c r="F917" s="160"/>
    </row>
    <row r="918" spans="3:6" ht="15" customHeight="1" x14ac:dyDescent="0.25">
      <c r="C918" s="160"/>
      <c r="D918" s="160"/>
      <c r="E918" s="160"/>
      <c r="F918" s="160"/>
    </row>
    <row r="919" spans="3:6" ht="15" customHeight="1" x14ac:dyDescent="0.25">
      <c r="C919" s="160"/>
      <c r="D919" s="160"/>
      <c r="E919" s="160"/>
      <c r="F919" s="160"/>
    </row>
    <row r="920" spans="3:6" ht="15" customHeight="1" x14ac:dyDescent="0.25">
      <c r="C920" s="160"/>
      <c r="D920" s="160"/>
      <c r="E920" s="160"/>
      <c r="F920" s="160"/>
    </row>
    <row r="921" spans="3:6" ht="15" customHeight="1" x14ac:dyDescent="0.25">
      <c r="C921" s="160"/>
      <c r="D921" s="160"/>
      <c r="E921" s="160"/>
      <c r="F921" s="160"/>
    </row>
    <row r="922" spans="3:6" ht="15" customHeight="1" x14ac:dyDescent="0.25">
      <c r="C922" s="160"/>
      <c r="D922" s="160"/>
      <c r="E922" s="160"/>
      <c r="F922" s="160"/>
    </row>
    <row r="923" spans="3:6" ht="15" customHeight="1" x14ac:dyDescent="0.25">
      <c r="C923" s="160"/>
      <c r="D923" s="160"/>
      <c r="E923" s="160"/>
      <c r="F923" s="160"/>
    </row>
    <row r="924" spans="3:6" ht="15" customHeight="1" x14ac:dyDescent="0.25">
      <c r="C924" s="160"/>
      <c r="D924" s="160"/>
      <c r="E924" s="160"/>
      <c r="F924" s="160"/>
    </row>
    <row r="925" spans="3:6" ht="15" customHeight="1" x14ac:dyDescent="0.25">
      <c r="C925" s="160"/>
      <c r="D925" s="160"/>
      <c r="E925" s="160"/>
      <c r="F925" s="160"/>
    </row>
    <row r="926" spans="3:6" ht="15" customHeight="1" x14ac:dyDescent="0.25">
      <c r="C926" s="160"/>
      <c r="D926" s="160"/>
      <c r="E926" s="160"/>
      <c r="F926" s="160"/>
    </row>
    <row r="927" spans="3:6" ht="15" customHeight="1" x14ac:dyDescent="0.25">
      <c r="C927" s="160"/>
      <c r="D927" s="160"/>
      <c r="E927" s="160"/>
      <c r="F927" s="160"/>
    </row>
    <row r="928" spans="3:6" ht="15" customHeight="1" x14ac:dyDescent="0.25">
      <c r="C928" s="160"/>
      <c r="D928" s="160"/>
      <c r="E928" s="160"/>
      <c r="F928" s="160"/>
    </row>
    <row r="929" spans="3:6" ht="15" customHeight="1" x14ac:dyDescent="0.25">
      <c r="C929" s="160"/>
      <c r="D929" s="160"/>
      <c r="E929" s="160"/>
      <c r="F929" s="160"/>
    </row>
    <row r="930" spans="3:6" ht="15" customHeight="1" x14ac:dyDescent="0.25">
      <c r="C930" s="160"/>
      <c r="D930" s="160"/>
      <c r="E930" s="160"/>
      <c r="F930" s="160"/>
    </row>
    <row r="931" spans="3:6" ht="15" customHeight="1" x14ac:dyDescent="0.25">
      <c r="C931" s="160"/>
      <c r="D931" s="160"/>
      <c r="E931" s="160"/>
      <c r="F931" s="160"/>
    </row>
    <row r="932" spans="3:6" ht="15" customHeight="1" x14ac:dyDescent="0.25">
      <c r="C932" s="160"/>
      <c r="D932" s="160"/>
      <c r="E932" s="160"/>
      <c r="F932" s="160"/>
    </row>
    <row r="933" spans="3:6" ht="15" customHeight="1" x14ac:dyDescent="0.25">
      <c r="C933" s="160"/>
      <c r="D933" s="160"/>
      <c r="E933" s="160"/>
      <c r="F933" s="160"/>
    </row>
    <row r="934" spans="3:6" ht="15" customHeight="1" x14ac:dyDescent="0.25">
      <c r="C934" s="160"/>
      <c r="D934" s="160"/>
      <c r="E934" s="160"/>
      <c r="F934" s="160"/>
    </row>
    <row r="935" spans="3:6" ht="15" customHeight="1" x14ac:dyDescent="0.25">
      <c r="C935" s="160"/>
      <c r="D935" s="160"/>
      <c r="E935" s="160"/>
      <c r="F935" s="160"/>
    </row>
    <row r="936" spans="3:6" ht="15" customHeight="1" x14ac:dyDescent="0.25">
      <c r="C936" s="160"/>
      <c r="D936" s="160"/>
      <c r="E936" s="160"/>
      <c r="F936" s="160"/>
    </row>
    <row r="937" spans="3:6" ht="15" customHeight="1" x14ac:dyDescent="0.25">
      <c r="C937" s="160"/>
      <c r="D937" s="160"/>
      <c r="E937" s="160"/>
      <c r="F937" s="160"/>
    </row>
    <row r="938" spans="3:6" ht="15" customHeight="1" x14ac:dyDescent="0.25">
      <c r="C938" s="160"/>
      <c r="D938" s="160"/>
      <c r="E938" s="160"/>
      <c r="F938" s="160"/>
    </row>
    <row r="939" spans="3:6" ht="15" customHeight="1" x14ac:dyDescent="0.25">
      <c r="C939" s="160"/>
      <c r="D939" s="160"/>
      <c r="E939" s="160"/>
      <c r="F939" s="160"/>
    </row>
    <row r="940" spans="3:6" ht="15" customHeight="1" x14ac:dyDescent="0.25">
      <c r="C940" s="160"/>
      <c r="D940" s="160"/>
      <c r="E940" s="160"/>
      <c r="F940" s="160"/>
    </row>
    <row r="941" spans="3:6" ht="15" customHeight="1" x14ac:dyDescent="0.25">
      <c r="C941" s="160"/>
      <c r="D941" s="160"/>
      <c r="E941" s="160"/>
      <c r="F941" s="160"/>
    </row>
    <row r="942" spans="3:6" ht="15" customHeight="1" x14ac:dyDescent="0.25">
      <c r="C942" s="160"/>
      <c r="D942" s="160"/>
      <c r="E942" s="160"/>
      <c r="F942" s="160"/>
    </row>
    <row r="943" spans="3:6" ht="15" customHeight="1" x14ac:dyDescent="0.25">
      <c r="C943" s="160"/>
      <c r="D943" s="160"/>
      <c r="E943" s="160"/>
      <c r="F943" s="160"/>
    </row>
    <row r="944" spans="3:6" ht="15" customHeight="1" x14ac:dyDescent="0.25">
      <c r="C944" s="160"/>
      <c r="D944" s="160"/>
      <c r="E944" s="160"/>
      <c r="F944" s="160"/>
    </row>
    <row r="945" spans="3:6" ht="15" customHeight="1" x14ac:dyDescent="0.25">
      <c r="C945" s="160"/>
      <c r="D945" s="160"/>
      <c r="E945" s="160"/>
      <c r="F945" s="160"/>
    </row>
    <row r="946" spans="3:6" ht="15" customHeight="1" x14ac:dyDescent="0.25">
      <c r="C946" s="160"/>
      <c r="D946" s="160"/>
      <c r="E946" s="160"/>
      <c r="F946" s="160"/>
    </row>
    <row r="947" spans="3:6" ht="15" customHeight="1" x14ac:dyDescent="0.25">
      <c r="C947" s="160"/>
      <c r="D947" s="160"/>
      <c r="E947" s="160"/>
      <c r="F947" s="160"/>
    </row>
    <row r="948" spans="3:6" ht="15" customHeight="1" x14ac:dyDescent="0.25">
      <c r="C948" s="160"/>
      <c r="D948" s="160"/>
      <c r="E948" s="160"/>
      <c r="F948" s="160"/>
    </row>
    <row r="949" spans="3:6" ht="15" customHeight="1" x14ac:dyDescent="0.25">
      <c r="C949" s="160"/>
      <c r="D949" s="160"/>
      <c r="E949" s="160"/>
      <c r="F949" s="160"/>
    </row>
    <row r="950" spans="3:6" ht="15" customHeight="1" x14ac:dyDescent="0.25">
      <c r="C950" s="160"/>
      <c r="D950" s="160"/>
      <c r="E950" s="160"/>
      <c r="F950" s="160"/>
    </row>
    <row r="951" spans="3:6" ht="15" customHeight="1" x14ac:dyDescent="0.25">
      <c r="C951" s="160"/>
      <c r="D951" s="160"/>
      <c r="E951" s="160"/>
      <c r="F951" s="160"/>
    </row>
    <row r="952" spans="3:6" ht="15" customHeight="1" x14ac:dyDescent="0.25">
      <c r="C952" s="160"/>
      <c r="D952" s="160"/>
      <c r="E952" s="160"/>
      <c r="F952" s="160"/>
    </row>
    <row r="953" spans="3:6" ht="15" customHeight="1" x14ac:dyDescent="0.25">
      <c r="C953" s="160"/>
      <c r="D953" s="160"/>
      <c r="E953" s="160"/>
      <c r="F953" s="160"/>
    </row>
    <row r="954" spans="3:6" ht="15" customHeight="1" x14ac:dyDescent="0.25">
      <c r="C954" s="160"/>
      <c r="D954" s="160"/>
      <c r="E954" s="160"/>
      <c r="F954" s="160"/>
    </row>
    <row r="955" spans="3:6" ht="15" customHeight="1" x14ac:dyDescent="0.25">
      <c r="C955" s="160"/>
      <c r="D955" s="160"/>
      <c r="E955" s="160"/>
      <c r="F955" s="160"/>
    </row>
    <row r="956" spans="3:6" ht="15" customHeight="1" x14ac:dyDescent="0.25">
      <c r="C956" s="160"/>
      <c r="D956" s="160"/>
      <c r="E956" s="160"/>
      <c r="F956" s="160"/>
    </row>
    <row r="957" spans="3:6" ht="15" customHeight="1" x14ac:dyDescent="0.25">
      <c r="C957" s="160"/>
      <c r="D957" s="160"/>
      <c r="E957" s="160"/>
      <c r="F957" s="160"/>
    </row>
    <row r="958" spans="3:6" ht="15" customHeight="1" x14ac:dyDescent="0.25">
      <c r="C958" s="160"/>
      <c r="D958" s="160"/>
      <c r="E958" s="160"/>
      <c r="F958" s="160"/>
    </row>
    <row r="959" spans="3:6" ht="15" customHeight="1" x14ac:dyDescent="0.25">
      <c r="C959" s="160"/>
      <c r="D959" s="160"/>
      <c r="E959" s="160"/>
      <c r="F959" s="160"/>
    </row>
    <row r="960" spans="3:6" ht="15" customHeight="1" x14ac:dyDescent="0.25">
      <c r="C960" s="160"/>
      <c r="D960" s="160"/>
      <c r="E960" s="160"/>
      <c r="F960" s="160"/>
    </row>
    <row r="961" spans="3:6" ht="15" customHeight="1" x14ac:dyDescent="0.25">
      <c r="C961" s="160"/>
      <c r="D961" s="160"/>
      <c r="E961" s="160"/>
      <c r="F961" s="160"/>
    </row>
    <row r="962" spans="3:6" ht="15" customHeight="1" x14ac:dyDescent="0.25">
      <c r="C962" s="160"/>
      <c r="D962" s="160"/>
      <c r="E962" s="160"/>
      <c r="F962" s="160"/>
    </row>
    <row r="963" spans="3:6" ht="15" customHeight="1" x14ac:dyDescent="0.25">
      <c r="C963" s="160"/>
      <c r="D963" s="160"/>
      <c r="E963" s="160"/>
      <c r="F963" s="160"/>
    </row>
    <row r="964" spans="3:6" ht="15" customHeight="1" x14ac:dyDescent="0.25">
      <c r="C964" s="160"/>
      <c r="D964" s="160"/>
      <c r="E964" s="160"/>
      <c r="F964" s="160"/>
    </row>
    <row r="965" spans="3:6" ht="15" customHeight="1" x14ac:dyDescent="0.25">
      <c r="C965" s="160"/>
      <c r="D965" s="160"/>
      <c r="E965" s="160"/>
      <c r="F965" s="160"/>
    </row>
    <row r="966" spans="3:6" ht="15" customHeight="1" x14ac:dyDescent="0.25">
      <c r="C966" s="160"/>
      <c r="D966" s="160"/>
      <c r="E966" s="160"/>
      <c r="F966" s="160"/>
    </row>
    <row r="967" spans="3:6" ht="15" customHeight="1" x14ac:dyDescent="0.25">
      <c r="C967" s="160"/>
      <c r="D967" s="160"/>
      <c r="E967" s="160"/>
      <c r="F967" s="160"/>
    </row>
    <row r="968" spans="3:6" ht="15" customHeight="1" x14ac:dyDescent="0.25">
      <c r="C968" s="160"/>
      <c r="D968" s="160"/>
      <c r="E968" s="160"/>
      <c r="F968" s="160"/>
    </row>
    <row r="969" spans="3:6" ht="15" customHeight="1" x14ac:dyDescent="0.25">
      <c r="C969" s="160"/>
      <c r="D969" s="160"/>
      <c r="E969" s="160"/>
      <c r="F969" s="160"/>
    </row>
    <row r="970" spans="3:6" ht="15" customHeight="1" x14ac:dyDescent="0.25">
      <c r="C970" s="160"/>
      <c r="D970" s="160"/>
      <c r="E970" s="160"/>
      <c r="F970" s="160"/>
    </row>
    <row r="971" spans="3:6" ht="15" customHeight="1" x14ac:dyDescent="0.25">
      <c r="C971" s="160"/>
      <c r="D971" s="160"/>
      <c r="E971" s="160"/>
      <c r="F971" s="160"/>
    </row>
    <row r="972" spans="3:6" ht="15" customHeight="1" x14ac:dyDescent="0.25">
      <c r="C972" s="160"/>
      <c r="D972" s="160"/>
      <c r="E972" s="160"/>
      <c r="F972" s="160"/>
    </row>
    <row r="973" spans="3:6" ht="15" customHeight="1" x14ac:dyDescent="0.25">
      <c r="C973" s="160"/>
      <c r="D973" s="160"/>
      <c r="E973" s="160"/>
      <c r="F973" s="160"/>
    </row>
    <row r="974" spans="3:6" ht="15" customHeight="1" x14ac:dyDescent="0.25">
      <c r="C974" s="160"/>
      <c r="D974" s="160"/>
      <c r="E974" s="160"/>
      <c r="F974" s="160"/>
    </row>
    <row r="975" spans="3:6" ht="15" customHeight="1" x14ac:dyDescent="0.25">
      <c r="C975" s="160"/>
      <c r="D975" s="160"/>
      <c r="E975" s="160"/>
      <c r="F975" s="160"/>
    </row>
    <row r="976" spans="3:6" ht="15" customHeight="1" x14ac:dyDescent="0.25">
      <c r="C976" s="160"/>
      <c r="D976" s="160"/>
      <c r="E976" s="160"/>
      <c r="F976" s="160"/>
    </row>
    <row r="977" spans="3:6" ht="15" customHeight="1" x14ac:dyDescent="0.25">
      <c r="C977" s="160"/>
      <c r="D977" s="160"/>
      <c r="E977" s="160"/>
      <c r="F977" s="160"/>
    </row>
    <row r="978" spans="3:6" ht="15" customHeight="1" x14ac:dyDescent="0.25">
      <c r="C978" s="160"/>
      <c r="D978" s="160"/>
      <c r="E978" s="160"/>
      <c r="F978" s="160"/>
    </row>
    <row r="979" spans="3:6" ht="15" customHeight="1" x14ac:dyDescent="0.25">
      <c r="C979" s="160"/>
      <c r="D979" s="160"/>
      <c r="E979" s="160"/>
      <c r="F979" s="160"/>
    </row>
    <row r="980" spans="3:6" ht="15" customHeight="1" x14ac:dyDescent="0.25">
      <c r="C980" s="160"/>
      <c r="D980" s="160"/>
      <c r="E980" s="160"/>
      <c r="F980" s="160"/>
    </row>
    <row r="981" spans="3:6" ht="15" customHeight="1" x14ac:dyDescent="0.25">
      <c r="C981" s="160"/>
      <c r="D981" s="160"/>
      <c r="E981" s="160"/>
      <c r="F981" s="160"/>
    </row>
    <row r="982" spans="3:6" ht="15" customHeight="1" x14ac:dyDescent="0.25">
      <c r="C982" s="160"/>
      <c r="D982" s="160"/>
      <c r="E982" s="160"/>
      <c r="F982" s="160"/>
    </row>
    <row r="983" spans="3:6" ht="15" customHeight="1" x14ac:dyDescent="0.25">
      <c r="C983" s="160"/>
      <c r="D983" s="160"/>
      <c r="E983" s="160"/>
      <c r="F983" s="160"/>
    </row>
    <row r="984" spans="3:6" ht="15" customHeight="1" x14ac:dyDescent="0.25">
      <c r="C984" s="160"/>
      <c r="D984" s="160"/>
      <c r="E984" s="160"/>
      <c r="F984" s="160"/>
    </row>
    <row r="985" spans="3:6" ht="15" customHeight="1" x14ac:dyDescent="0.25">
      <c r="C985" s="160"/>
      <c r="D985" s="160"/>
      <c r="E985" s="160"/>
      <c r="F985" s="160"/>
    </row>
    <row r="986" spans="3:6" ht="15" customHeight="1" x14ac:dyDescent="0.25">
      <c r="C986" s="160"/>
      <c r="D986" s="160"/>
      <c r="E986" s="160"/>
      <c r="F986" s="160"/>
    </row>
    <row r="987" spans="3:6" ht="15" customHeight="1" x14ac:dyDescent="0.25">
      <c r="C987" s="160"/>
      <c r="D987" s="160"/>
      <c r="E987" s="160"/>
      <c r="F987" s="160"/>
    </row>
    <row r="988" spans="3:6" ht="15" customHeight="1" x14ac:dyDescent="0.25">
      <c r="C988" s="160"/>
      <c r="D988" s="160"/>
      <c r="E988" s="160"/>
      <c r="F988" s="160"/>
    </row>
    <row r="989" spans="3:6" ht="15" customHeight="1" x14ac:dyDescent="0.25">
      <c r="C989" s="160"/>
      <c r="D989" s="160"/>
      <c r="E989" s="160"/>
      <c r="F989" s="160"/>
    </row>
    <row r="990" spans="3:6" ht="15" customHeight="1" x14ac:dyDescent="0.25">
      <c r="C990" s="160"/>
      <c r="D990" s="160"/>
      <c r="E990" s="160"/>
      <c r="F990" s="160"/>
    </row>
    <row r="991" spans="3:6" ht="15" customHeight="1" x14ac:dyDescent="0.25">
      <c r="C991" s="160"/>
      <c r="D991" s="160"/>
      <c r="E991" s="160"/>
      <c r="F991" s="160"/>
    </row>
    <row r="992" spans="3:6" ht="15" customHeight="1" x14ac:dyDescent="0.25">
      <c r="C992" s="160"/>
      <c r="D992" s="160"/>
      <c r="E992" s="160"/>
      <c r="F992" s="160"/>
    </row>
    <row r="993" spans="3:6" ht="15" customHeight="1" x14ac:dyDescent="0.25">
      <c r="C993" s="160"/>
      <c r="D993" s="160"/>
      <c r="E993" s="160"/>
      <c r="F993" s="160"/>
    </row>
    <row r="994" spans="3:6" ht="15" customHeight="1" x14ac:dyDescent="0.25">
      <c r="C994" s="160"/>
      <c r="D994" s="160"/>
      <c r="E994" s="160"/>
      <c r="F994" s="160"/>
    </row>
    <row r="995" spans="3:6" ht="15" customHeight="1" x14ac:dyDescent="0.25">
      <c r="C995" s="160"/>
      <c r="D995" s="160"/>
      <c r="E995" s="160"/>
      <c r="F995" s="160"/>
    </row>
    <row r="996" spans="3:6" ht="15" customHeight="1" x14ac:dyDescent="0.25">
      <c r="C996" s="160"/>
      <c r="D996" s="160"/>
      <c r="E996" s="160"/>
      <c r="F996" s="160"/>
    </row>
    <row r="997" spans="3:6" ht="15" customHeight="1" x14ac:dyDescent="0.25">
      <c r="C997" s="160"/>
      <c r="D997" s="160"/>
      <c r="E997" s="160"/>
      <c r="F997" s="160"/>
    </row>
    <row r="998" spans="3:6" ht="15" customHeight="1" x14ac:dyDescent="0.25">
      <c r="C998" s="160"/>
      <c r="D998" s="160"/>
      <c r="E998" s="160"/>
      <c r="F998" s="160"/>
    </row>
    <row r="999" spans="3:6" ht="15" customHeight="1" x14ac:dyDescent="0.25">
      <c r="C999" s="160"/>
      <c r="D999" s="160"/>
      <c r="E999" s="160"/>
      <c r="F999" s="160"/>
    </row>
    <row r="1000" spans="3:6" ht="15" customHeight="1" x14ac:dyDescent="0.25">
      <c r="C1000" s="160"/>
      <c r="D1000" s="160"/>
      <c r="E1000" s="160"/>
      <c r="F1000" s="160"/>
    </row>
    <row r="1001" spans="3:6" ht="15" customHeight="1" x14ac:dyDescent="0.25">
      <c r="D1001" s="160"/>
      <c r="E1001" s="160"/>
      <c r="F1001" s="160"/>
    </row>
    <row r="1002" spans="3:6" ht="15" customHeight="1" x14ac:dyDescent="0.25">
      <c r="D1002" s="160"/>
      <c r="E1002" s="160"/>
      <c r="F1002" s="160"/>
    </row>
    <row r="1003" spans="3:6" ht="15" customHeight="1" x14ac:dyDescent="0.25">
      <c r="D1003" s="160"/>
      <c r="E1003" s="160"/>
      <c r="F1003" s="160"/>
    </row>
    <row r="1004" spans="3:6" ht="15" customHeight="1" x14ac:dyDescent="0.25">
      <c r="D1004" s="160"/>
      <c r="E1004" s="160"/>
      <c r="F1004" s="160"/>
    </row>
    <row r="1005" spans="3:6" ht="15" customHeight="1" x14ac:dyDescent="0.25">
      <c r="D1005" s="160"/>
      <c r="E1005" s="160"/>
      <c r="F1005" s="160"/>
    </row>
    <row r="1006" spans="3:6" ht="15" customHeight="1" x14ac:dyDescent="0.25">
      <c r="D1006" s="160"/>
      <c r="E1006" s="160"/>
      <c r="F1006" s="160"/>
    </row>
    <row r="1007" spans="3:6" ht="15" customHeight="1" x14ac:dyDescent="0.25">
      <c r="D1007" s="160"/>
      <c r="E1007" s="160"/>
      <c r="F1007" s="160"/>
    </row>
    <row r="1008" spans="3:6" ht="15" customHeight="1" x14ac:dyDescent="0.25">
      <c r="D1008" s="160"/>
      <c r="E1008" s="160"/>
      <c r="F1008" s="160"/>
    </row>
    <row r="1009" spans="4:6" ht="15" customHeight="1" x14ac:dyDescent="0.25">
      <c r="D1009" s="160"/>
      <c r="E1009" s="160"/>
      <c r="F1009" s="160"/>
    </row>
    <row r="1010" spans="4:6" ht="15" customHeight="1" x14ac:dyDescent="0.25">
      <c r="F1010" s="77"/>
    </row>
    <row r="1011" spans="4:6" ht="15" customHeight="1" x14ac:dyDescent="0.25">
      <c r="F1011" s="77"/>
    </row>
    <row r="1012" spans="4:6" ht="15" customHeight="1" x14ac:dyDescent="0.25">
      <c r="F1012" s="77"/>
    </row>
    <row r="1013" spans="4:6" ht="15" customHeight="1" x14ac:dyDescent="0.25">
      <c r="F1013" s="77"/>
    </row>
    <row r="1014" spans="4:6" ht="15" customHeight="1" x14ac:dyDescent="0.25">
      <c r="F1014" s="77"/>
    </row>
    <row r="1015" spans="4:6" ht="15" customHeight="1" x14ac:dyDescent="0.25">
      <c r="F1015" s="77"/>
    </row>
  </sheetData>
  <sheetProtection algorithmName="SHA-512" hashValue="ID/NsPiA/Rv7bC45QoCeQ1ZlJk4+92X8Hx7Sv70FikqHrPXv1zw0m+SUwphan49PsRHpKPynLiTuyLf6LlLw1Q==" saltValue="hK/ZrEv0OavCJOyYFHXDEA==" spinCount="100000" sheet="1" scenarios="1" formatCells="0" formatColumns="0" insertRows="0" deleteRows="0" autoFilter="0"/>
  <autoFilter ref="A5:A68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T1005"/>
  <sheetViews>
    <sheetView showGridLines="0" zoomScaleNormal="100" workbookViewId="0"/>
  </sheetViews>
  <sheetFormatPr defaultColWidth="0" defaultRowHeight="15" customHeight="1" x14ac:dyDescent="0.25"/>
  <cols>
    <col min="1" max="1" width="38.85546875" customWidth="1"/>
    <col min="2" max="2" width="41.5703125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8" width="15.7109375" customWidth="1"/>
    <col min="9" max="9" width="19" bestFit="1" customWidth="1"/>
    <col min="10" max="20" width="0" style="10" hidden="1" customWidth="1"/>
    <col min="21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344" t="s">
        <v>13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C4" s="160"/>
      <c r="D4" s="160"/>
      <c r="E4" s="160"/>
      <c r="F4" s="160"/>
    </row>
    <row r="5" spans="1:15" ht="15" customHeight="1" x14ac:dyDescent="0.25">
      <c r="A5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20" t="s">
        <v>758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64"/>
      <c r="D6" s="164"/>
      <c r="E6" s="164"/>
      <c r="F6" s="164"/>
      <c r="G6" s="47"/>
      <c r="H6" s="47"/>
      <c r="I6" s="47"/>
    </row>
    <row r="7" spans="1:15" ht="15" customHeight="1" x14ac:dyDescent="0.25">
      <c r="A7" s="159" t="s">
        <v>24</v>
      </c>
      <c r="B7" s="167" t="s">
        <v>17</v>
      </c>
      <c r="C7" s="168"/>
      <c r="D7" s="165"/>
      <c r="E7" s="165"/>
      <c r="F7" s="165"/>
      <c r="G7" s="94">
        <f t="shared" ref="G7:G50" si="0">IF(ISERROR(C7- D7)=TRUE,"",C7 - D7)</f>
        <v>0</v>
      </c>
      <c r="H7" s="91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6"/>
      <c r="J7" s="154"/>
      <c r="K7" s="154"/>
      <c r="L7" s="154"/>
      <c r="M7" s="154"/>
      <c r="N7" s="154"/>
      <c r="O7" s="154"/>
    </row>
    <row r="8" spans="1:15" ht="15" customHeight="1" x14ac:dyDescent="0.25">
      <c r="A8" s="159" t="s">
        <v>24</v>
      </c>
      <c r="B8" s="163" t="s">
        <v>18</v>
      </c>
      <c r="C8" s="169"/>
      <c r="D8" s="166"/>
      <c r="E8" s="166"/>
      <c r="F8" s="166"/>
      <c r="G8" s="96">
        <f t="shared" si="0"/>
        <v>0</v>
      </c>
      <c r="H8" s="92" t="str">
        <f t="shared" si="1"/>
        <v/>
      </c>
      <c r="I8" s="93"/>
      <c r="J8" s="154"/>
      <c r="K8" s="154"/>
      <c r="L8" s="154"/>
      <c r="M8" s="154"/>
      <c r="N8" s="154"/>
      <c r="O8" s="154"/>
    </row>
    <row r="9" spans="1:15" ht="15" customHeight="1" x14ac:dyDescent="0.25">
      <c r="A9" s="159" t="s">
        <v>24</v>
      </c>
      <c r="B9" s="167" t="s">
        <v>19</v>
      </c>
      <c r="C9" s="168"/>
      <c r="D9" s="165"/>
      <c r="E9" s="165"/>
      <c r="F9" s="165"/>
      <c r="G9" s="94">
        <f t="shared" si="0"/>
        <v>0</v>
      </c>
      <c r="H9" s="91" t="str">
        <f t="shared" si="1"/>
        <v/>
      </c>
      <c r="I9" s="106"/>
      <c r="J9" s="154"/>
      <c r="K9" s="154"/>
      <c r="L9" s="154"/>
      <c r="M9" s="154"/>
      <c r="N9" s="154"/>
      <c r="O9" s="154"/>
    </row>
    <row r="10" spans="1:15" s="40" customFormat="1" ht="15" customHeight="1" x14ac:dyDescent="0.25">
      <c r="A10" s="38" t="s">
        <v>24</v>
      </c>
      <c r="B10" s="86" t="s">
        <v>8</v>
      </c>
      <c r="C10" s="64">
        <f>SUMIFS((C7:C9),(A7:A9),A10)</f>
        <v>0</v>
      </c>
      <c r="D10" s="64">
        <f>SUMIFS((D7:D9),(A7:A9),A10)</f>
        <v>0</v>
      </c>
      <c r="E10" s="64">
        <f>SUMIFS((E7:E9),(A7:A9),A10)</f>
        <v>0</v>
      </c>
      <c r="F10" s="64">
        <f>SUMIFS((F7:F9),(A7:A9),A10)</f>
        <v>0</v>
      </c>
      <c r="G10" s="101">
        <f t="shared" si="0"/>
        <v>0</v>
      </c>
      <c r="H10" s="87" t="str">
        <f t="shared" si="1"/>
        <v/>
      </c>
      <c r="I10" s="108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5"/>
      <c r="C11" s="69"/>
      <c r="D11" s="69"/>
      <c r="E11" s="69"/>
      <c r="F11" s="69"/>
      <c r="G11" s="97">
        <f t="shared" si="0"/>
        <v>0</v>
      </c>
      <c r="H11" s="85" t="str">
        <f t="shared" si="1"/>
        <v/>
      </c>
      <c r="I11" s="56"/>
    </row>
    <row r="12" spans="1:15" ht="15" customHeight="1" x14ac:dyDescent="0.25">
      <c r="A12" s="159" t="s">
        <v>47</v>
      </c>
      <c r="B12" s="163" t="s">
        <v>17</v>
      </c>
      <c r="C12" s="169"/>
      <c r="D12" s="166"/>
      <c r="E12" s="166"/>
      <c r="F12" s="166"/>
      <c r="G12" s="96">
        <f t="shared" si="0"/>
        <v>0</v>
      </c>
      <c r="H12" s="92" t="str">
        <f t="shared" si="1"/>
        <v/>
      </c>
      <c r="I12" s="93"/>
      <c r="J12" s="154"/>
      <c r="K12" s="154"/>
      <c r="L12" s="154"/>
      <c r="M12" s="154"/>
      <c r="N12" s="154"/>
      <c r="O12" s="154"/>
    </row>
    <row r="13" spans="1:15" ht="15" customHeight="1" x14ac:dyDescent="0.25">
      <c r="A13" s="159" t="s">
        <v>47</v>
      </c>
      <c r="B13" s="167" t="s">
        <v>18</v>
      </c>
      <c r="C13" s="168"/>
      <c r="D13" s="165"/>
      <c r="E13" s="165"/>
      <c r="F13" s="165"/>
      <c r="G13" s="94">
        <f t="shared" si="0"/>
        <v>0</v>
      </c>
      <c r="H13" s="91" t="str">
        <f t="shared" si="1"/>
        <v/>
      </c>
      <c r="I13" s="106"/>
      <c r="J13" s="154"/>
      <c r="K13" s="154"/>
      <c r="L13" s="154"/>
      <c r="M13" s="154"/>
      <c r="N13" s="154"/>
      <c r="O13" s="154"/>
    </row>
    <row r="14" spans="1:15" ht="15" customHeight="1" x14ac:dyDescent="0.25">
      <c r="A14" s="159" t="s">
        <v>47</v>
      </c>
      <c r="B14" s="163" t="s">
        <v>19</v>
      </c>
      <c r="C14" s="169"/>
      <c r="D14" s="166"/>
      <c r="E14" s="166"/>
      <c r="F14" s="166"/>
      <c r="G14" s="96">
        <f t="shared" si="0"/>
        <v>0</v>
      </c>
      <c r="H14" s="92" t="str">
        <f t="shared" si="1"/>
        <v/>
      </c>
      <c r="I14" s="93"/>
      <c r="J14" s="154"/>
      <c r="K14" s="154"/>
      <c r="L14" s="154"/>
      <c r="M14" s="154"/>
      <c r="N14" s="154"/>
      <c r="O14" s="154"/>
    </row>
    <row r="15" spans="1:15" s="40" customFormat="1" ht="15" customHeight="1" x14ac:dyDescent="0.25">
      <c r="A15" s="38" t="s">
        <v>47</v>
      </c>
      <c r="B15" s="107" t="s">
        <v>8</v>
      </c>
      <c r="C15" s="63">
        <f>SUMIFS((C7:C14),(A7:A14),A15)</f>
        <v>0</v>
      </c>
      <c r="D15" s="63">
        <f>SUMIFS((D7:D14),(A7:A14),A15)</f>
        <v>0</v>
      </c>
      <c r="E15" s="63">
        <f>SUMIFS((E7:E14),(A7:A14),A15)</f>
        <v>0</v>
      </c>
      <c r="F15" s="63">
        <f>SUMIFS((F7:F14),(A7:A14),A15)</f>
        <v>0</v>
      </c>
      <c r="G15" s="97">
        <f t="shared" si="0"/>
        <v>0</v>
      </c>
      <c r="H15" s="85" t="str">
        <f t="shared" si="1"/>
        <v/>
      </c>
      <c r="I15" s="105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9"/>
      <c r="C16" s="98"/>
      <c r="D16" s="98"/>
      <c r="E16" s="98"/>
      <c r="F16" s="98"/>
      <c r="G16" s="101">
        <f t="shared" si="0"/>
        <v>0</v>
      </c>
      <c r="H16" s="87" t="str">
        <f t="shared" si="1"/>
        <v/>
      </c>
      <c r="I16" s="47"/>
    </row>
    <row r="17" spans="1:15" ht="15" customHeight="1" x14ac:dyDescent="0.25">
      <c r="A17" s="159" t="s">
        <v>48</v>
      </c>
      <c r="B17" s="167" t="s">
        <v>17</v>
      </c>
      <c r="C17" s="168"/>
      <c r="D17" s="165"/>
      <c r="E17" s="165"/>
      <c r="F17" s="165"/>
      <c r="G17" s="94">
        <f t="shared" si="0"/>
        <v>0</v>
      </c>
      <c r="H17" s="91" t="str">
        <f t="shared" si="1"/>
        <v/>
      </c>
      <c r="I17" s="106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48</v>
      </c>
      <c r="B18" s="163" t="s">
        <v>18</v>
      </c>
      <c r="C18" s="169"/>
      <c r="D18" s="166"/>
      <c r="E18" s="166"/>
      <c r="F18" s="166"/>
      <c r="G18" s="96">
        <f t="shared" si="0"/>
        <v>0</v>
      </c>
      <c r="H18" s="92" t="str">
        <f t="shared" si="1"/>
        <v/>
      </c>
      <c r="I18" s="93"/>
      <c r="J18" s="154"/>
      <c r="K18" s="154"/>
      <c r="L18" s="154"/>
      <c r="M18" s="154"/>
      <c r="N18" s="154"/>
      <c r="O18" s="154"/>
    </row>
    <row r="19" spans="1:15" ht="15" customHeight="1" x14ac:dyDescent="0.25">
      <c r="A19" s="159" t="s">
        <v>48</v>
      </c>
      <c r="B19" s="167" t="s">
        <v>19</v>
      </c>
      <c r="C19" s="168"/>
      <c r="D19" s="165"/>
      <c r="E19" s="165"/>
      <c r="F19" s="165"/>
      <c r="G19" s="94">
        <f t="shared" si="0"/>
        <v>0</v>
      </c>
      <c r="H19" s="91" t="str">
        <f t="shared" si="1"/>
        <v/>
      </c>
      <c r="I19" s="106"/>
      <c r="J19" s="154"/>
      <c r="K19" s="154"/>
      <c r="L19" s="154"/>
      <c r="M19" s="154"/>
      <c r="N19" s="154"/>
      <c r="O19" s="154"/>
    </row>
    <row r="20" spans="1:15" s="40" customFormat="1" ht="15" customHeight="1" x14ac:dyDescent="0.25">
      <c r="A20" s="38" t="s">
        <v>48</v>
      </c>
      <c r="B20" s="86" t="s">
        <v>8</v>
      </c>
      <c r="C20" s="64">
        <f>SUMIFS((C7:C19),(A7:A19),A20)</f>
        <v>0</v>
      </c>
      <c r="D20" s="64">
        <f>SUMIFS((D7:D19),(A7:A19),A20)</f>
        <v>0</v>
      </c>
      <c r="E20" s="64">
        <f>SUMIFS((E7:E19),(A7:A19),A20)</f>
        <v>0</v>
      </c>
      <c r="F20" s="64">
        <f>SUMIFS((F7:F19),(A7:A19),A20)</f>
        <v>0</v>
      </c>
      <c r="G20" s="101">
        <f t="shared" si="0"/>
        <v>0</v>
      </c>
      <c r="H20" s="87" t="str">
        <f t="shared" si="1"/>
        <v/>
      </c>
      <c r="I20" s="108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7"/>
      <c r="C21" s="63"/>
      <c r="D21" s="63"/>
      <c r="E21" s="63"/>
      <c r="F21" s="63"/>
      <c r="G21" s="97">
        <f t="shared" si="0"/>
        <v>0</v>
      </c>
      <c r="H21" s="85" t="str">
        <f t="shared" si="1"/>
        <v/>
      </c>
      <c r="I21" s="58"/>
    </row>
    <row r="22" spans="1:15" ht="15" customHeight="1" x14ac:dyDescent="0.25">
      <c r="A22" s="159" t="s">
        <v>46</v>
      </c>
      <c r="B22" s="53" t="s">
        <v>17</v>
      </c>
      <c r="C22" s="66"/>
      <c r="D22" s="68"/>
      <c r="E22" s="68"/>
      <c r="F22" s="68"/>
      <c r="G22" s="96">
        <f t="shared" si="0"/>
        <v>0</v>
      </c>
      <c r="H22" s="92" t="str">
        <f t="shared" si="1"/>
        <v/>
      </c>
      <c r="I22" s="54"/>
      <c r="J22" s="154"/>
      <c r="K22" s="154"/>
      <c r="L22" s="154"/>
      <c r="M22" s="154"/>
      <c r="N22" s="154"/>
      <c r="O22" s="154"/>
    </row>
    <row r="23" spans="1:15" ht="15" customHeight="1" x14ac:dyDescent="0.25">
      <c r="A23" s="159" t="s">
        <v>46</v>
      </c>
      <c r="B23" s="59" t="s">
        <v>18</v>
      </c>
      <c r="C23" s="71"/>
      <c r="D23" s="70"/>
      <c r="E23" s="70"/>
      <c r="F23" s="70"/>
      <c r="G23" s="94">
        <f t="shared" si="0"/>
        <v>0</v>
      </c>
      <c r="H23" s="91" t="str">
        <f t="shared" si="1"/>
        <v/>
      </c>
      <c r="I23" s="60"/>
      <c r="J23" s="154"/>
      <c r="K23" s="154"/>
      <c r="L23" s="154"/>
      <c r="M23" s="154"/>
      <c r="N23" s="154"/>
      <c r="O23" s="154"/>
    </row>
    <row r="24" spans="1:15" ht="15" customHeight="1" x14ac:dyDescent="0.25">
      <c r="A24" s="159" t="s">
        <v>46</v>
      </c>
      <c r="B24" s="53" t="s">
        <v>19</v>
      </c>
      <c r="C24" s="66"/>
      <c r="D24" s="68"/>
      <c r="E24" s="68"/>
      <c r="F24" s="68"/>
      <c r="G24" s="96">
        <f t="shared" si="0"/>
        <v>0</v>
      </c>
      <c r="H24" s="92" t="str">
        <f t="shared" si="1"/>
        <v/>
      </c>
      <c r="I24" s="54"/>
      <c r="J24" s="154"/>
      <c r="K24" s="154"/>
      <c r="L24" s="154"/>
      <c r="M24" s="154"/>
      <c r="N24" s="154"/>
      <c r="O24" s="154"/>
    </row>
    <row r="25" spans="1:15" s="40" customFormat="1" ht="15" customHeight="1" x14ac:dyDescent="0.25">
      <c r="A25" s="38" t="s">
        <v>46</v>
      </c>
      <c r="B25" s="107" t="s">
        <v>8</v>
      </c>
      <c r="C25" s="63">
        <f>SUMIFS((C7:C24),(A7:A24),A25)</f>
        <v>0</v>
      </c>
      <c r="D25" s="63">
        <f>SUMIFS((D7:D24),(A7:A24),A25)</f>
        <v>0</v>
      </c>
      <c r="E25" s="63">
        <f>SUMIFS((E7:E24),(A7:A24),A25)</f>
        <v>0</v>
      </c>
      <c r="F25" s="63">
        <f>SUMIFS((F7:F24),(A7:A24),A25)</f>
        <v>0</v>
      </c>
      <c r="G25" s="97">
        <f t="shared" si="0"/>
        <v>0</v>
      </c>
      <c r="H25" s="85" t="str">
        <f t="shared" si="1"/>
        <v/>
      </c>
      <c r="I25" s="105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51"/>
      <c r="C26" s="64"/>
      <c r="D26" s="64"/>
      <c r="E26" s="64"/>
      <c r="F26" s="64"/>
      <c r="G26" s="101">
        <f t="shared" si="0"/>
        <v>0</v>
      </c>
      <c r="H26" s="87" t="str">
        <f t="shared" si="1"/>
        <v/>
      </c>
      <c r="I26" s="52"/>
    </row>
    <row r="27" spans="1:15" ht="15" customHeight="1" x14ac:dyDescent="0.25">
      <c r="A27" s="159" t="s">
        <v>25</v>
      </c>
      <c r="B27" s="44" t="s">
        <v>17</v>
      </c>
      <c r="C27" s="65"/>
      <c r="D27" s="67"/>
      <c r="E27" s="67"/>
      <c r="F27" s="67"/>
      <c r="G27" s="94">
        <f t="shared" si="0"/>
        <v>0</v>
      </c>
      <c r="H27" s="91" t="str">
        <f t="shared" si="1"/>
        <v/>
      </c>
      <c r="I27" s="34"/>
      <c r="J27" s="154"/>
      <c r="K27" s="154"/>
      <c r="L27" s="154"/>
      <c r="M27" s="154"/>
      <c r="N27" s="154"/>
      <c r="O27" s="154"/>
    </row>
    <row r="28" spans="1:15" ht="15" customHeight="1" x14ac:dyDescent="0.25">
      <c r="A28" s="159" t="s">
        <v>25</v>
      </c>
      <c r="B28" s="53" t="s">
        <v>18</v>
      </c>
      <c r="C28" s="66"/>
      <c r="D28" s="68"/>
      <c r="E28" s="68"/>
      <c r="F28" s="68"/>
      <c r="G28" s="96">
        <f t="shared" si="0"/>
        <v>0</v>
      </c>
      <c r="H28" s="92" t="str">
        <f t="shared" si="1"/>
        <v/>
      </c>
      <c r="I28" s="54"/>
      <c r="J28" s="154"/>
      <c r="K28" s="154"/>
      <c r="L28" s="154"/>
      <c r="M28" s="154"/>
      <c r="N28" s="154"/>
      <c r="O28" s="154"/>
    </row>
    <row r="29" spans="1:15" ht="15" customHeight="1" x14ac:dyDescent="0.25">
      <c r="A29" s="159" t="s">
        <v>25</v>
      </c>
      <c r="B29" s="44" t="s">
        <v>19</v>
      </c>
      <c r="C29" s="65"/>
      <c r="D29" s="67"/>
      <c r="E29" s="67"/>
      <c r="F29" s="67"/>
      <c r="G29" s="94">
        <f t="shared" si="0"/>
        <v>0</v>
      </c>
      <c r="H29" s="91" t="str">
        <f t="shared" si="1"/>
        <v/>
      </c>
      <c r="I29" s="34"/>
      <c r="J29" s="154"/>
      <c r="K29" s="154"/>
      <c r="L29" s="154"/>
      <c r="M29" s="154"/>
      <c r="N29" s="154"/>
      <c r="O29" s="154"/>
    </row>
    <row r="30" spans="1:15" s="40" customFormat="1" ht="15" customHeight="1" x14ac:dyDescent="0.25">
      <c r="A30" s="38" t="s">
        <v>25</v>
      </c>
      <c r="B30" s="86" t="s">
        <v>8</v>
      </c>
      <c r="C30" s="64">
        <f>SUMIFS((C7:C29),(A7:A29),A30)</f>
        <v>0</v>
      </c>
      <c r="D30" s="64">
        <f>SUMIFS((D7:D29),(A7:A29),A30)</f>
        <v>0</v>
      </c>
      <c r="E30" s="64">
        <f>SUMIFS((E7:E29),(A7:A29),A30)</f>
        <v>0</v>
      </c>
      <c r="F30" s="64">
        <f>SUMIFS((F7:F29),(A7:A29),A30)</f>
        <v>0</v>
      </c>
      <c r="G30" s="101">
        <f t="shared" si="0"/>
        <v>0</v>
      </c>
      <c r="H30" s="87" t="str">
        <f t="shared" si="1"/>
        <v/>
      </c>
      <c r="I30" s="108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7"/>
      <c r="C31" s="63"/>
      <c r="D31" s="63"/>
      <c r="E31" s="63"/>
      <c r="F31" s="63"/>
      <c r="G31" s="97">
        <f t="shared" si="0"/>
        <v>0</v>
      </c>
      <c r="H31" s="85" t="str">
        <f t="shared" si="1"/>
        <v/>
      </c>
      <c r="I31" s="58"/>
    </row>
    <row r="32" spans="1:15" ht="15" customHeight="1" x14ac:dyDescent="0.25">
      <c r="A32" s="159" t="s">
        <v>26</v>
      </c>
      <c r="B32" s="53" t="s">
        <v>17</v>
      </c>
      <c r="C32" s="66"/>
      <c r="D32" s="68"/>
      <c r="E32" s="68"/>
      <c r="F32" s="68"/>
      <c r="G32" s="96">
        <f t="shared" si="0"/>
        <v>0</v>
      </c>
      <c r="H32" s="92" t="str">
        <f t="shared" si="1"/>
        <v/>
      </c>
      <c r="I32" s="54"/>
      <c r="J32" s="154"/>
      <c r="K32" s="154"/>
      <c r="L32" s="154"/>
      <c r="M32" s="154"/>
      <c r="N32" s="154"/>
      <c r="O32" s="154"/>
    </row>
    <row r="33" spans="1:15" ht="15" customHeight="1" x14ac:dyDescent="0.25">
      <c r="A33" s="159" t="s">
        <v>26</v>
      </c>
      <c r="B33" s="59" t="s">
        <v>18</v>
      </c>
      <c r="C33" s="71"/>
      <c r="D33" s="70"/>
      <c r="E33" s="70"/>
      <c r="F33" s="70"/>
      <c r="G33" s="94">
        <f t="shared" si="0"/>
        <v>0</v>
      </c>
      <c r="H33" s="91" t="str">
        <f t="shared" si="1"/>
        <v/>
      </c>
      <c r="I33" s="60"/>
      <c r="J33" s="154"/>
      <c r="K33" s="154"/>
      <c r="L33" s="154"/>
      <c r="M33" s="154"/>
      <c r="N33" s="154"/>
      <c r="O33" s="154"/>
    </row>
    <row r="34" spans="1:15" ht="15" customHeight="1" x14ac:dyDescent="0.25">
      <c r="A34" s="159" t="s">
        <v>26</v>
      </c>
      <c r="B34" s="53" t="s">
        <v>19</v>
      </c>
      <c r="C34" s="66"/>
      <c r="D34" s="68"/>
      <c r="E34" s="68"/>
      <c r="F34" s="68"/>
      <c r="G34" s="96">
        <f t="shared" si="0"/>
        <v>0</v>
      </c>
      <c r="H34" s="92" t="str">
        <f t="shared" si="1"/>
        <v/>
      </c>
      <c r="I34" s="54"/>
      <c r="J34" s="154"/>
      <c r="K34" s="154"/>
      <c r="L34" s="154"/>
      <c r="M34" s="154"/>
      <c r="N34" s="154"/>
      <c r="O34" s="154"/>
    </row>
    <row r="35" spans="1:15" s="40" customFormat="1" ht="15" customHeight="1" x14ac:dyDescent="0.25">
      <c r="A35" s="38" t="s">
        <v>26</v>
      </c>
      <c r="B35" s="107" t="s">
        <v>8</v>
      </c>
      <c r="C35" s="63">
        <f>SUMIFS((C7:C34),(A7:A34),A35)</f>
        <v>0</v>
      </c>
      <c r="D35" s="63">
        <f>SUMIFS((D7:D34),(A7:A34),A35)</f>
        <v>0</v>
      </c>
      <c r="E35" s="63">
        <f>SUMIFS((E7:E34),(A7:A34),A35)</f>
        <v>0</v>
      </c>
      <c r="F35" s="63">
        <f>SUMIFS((F7:F34),(A7:A34),A35)</f>
        <v>0</v>
      </c>
      <c r="G35" s="97">
        <f t="shared" si="0"/>
        <v>0</v>
      </c>
      <c r="H35" s="85" t="str">
        <f t="shared" si="1"/>
        <v/>
      </c>
      <c r="I35" s="105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8" t="s">
        <v>53</v>
      </c>
      <c r="B36" s="51"/>
      <c r="C36" s="64"/>
      <c r="D36" s="64"/>
      <c r="E36" s="64"/>
      <c r="F36" s="64"/>
      <c r="G36" s="101">
        <f t="shared" si="0"/>
        <v>0</v>
      </c>
      <c r="H36" s="87" t="str">
        <f t="shared" si="1"/>
        <v/>
      </c>
      <c r="I36" s="52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27" t="s">
        <v>53</v>
      </c>
      <c r="B37" s="44" t="s">
        <v>17</v>
      </c>
      <c r="C37" s="65"/>
      <c r="D37" s="67"/>
      <c r="E37" s="67"/>
      <c r="F37" s="67"/>
      <c r="G37" s="94">
        <f t="shared" si="0"/>
        <v>0</v>
      </c>
      <c r="H37" s="91" t="str">
        <f t="shared" si="1"/>
        <v/>
      </c>
      <c r="I37" s="34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27" t="s">
        <v>53</v>
      </c>
      <c r="B38" s="53" t="s">
        <v>18</v>
      </c>
      <c r="C38" s="66"/>
      <c r="D38" s="68"/>
      <c r="E38" s="68"/>
      <c r="F38" s="68"/>
      <c r="G38" s="96">
        <f t="shared" si="0"/>
        <v>0</v>
      </c>
      <c r="H38" s="92" t="str">
        <f t="shared" si="1"/>
        <v/>
      </c>
      <c r="I38" s="54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27" t="s">
        <v>53</v>
      </c>
      <c r="B39" s="44" t="s">
        <v>19</v>
      </c>
      <c r="C39" s="65"/>
      <c r="D39" s="67"/>
      <c r="E39" s="67"/>
      <c r="F39" s="67"/>
      <c r="G39" s="94">
        <f t="shared" si="0"/>
        <v>0</v>
      </c>
      <c r="H39" s="91" t="str">
        <f t="shared" si="1"/>
        <v/>
      </c>
      <c r="I39" s="34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27" t="s">
        <v>53</v>
      </c>
      <c r="B40" s="86" t="s">
        <v>8</v>
      </c>
      <c r="C40" s="64">
        <f>SUMIFS((C7:C39),(A7:A39),A40)</f>
        <v>0</v>
      </c>
      <c r="D40" s="64">
        <f>SUMIFS((D7:D39),(A7:A39),A40)</f>
        <v>0</v>
      </c>
      <c r="E40" s="64">
        <f>SUMIFS((E7:E39),(A7:A39),A40)</f>
        <v>0</v>
      </c>
      <c r="F40" s="64">
        <f>SUMIFS((F7:F39),(A7:A39),A40)</f>
        <v>0</v>
      </c>
      <c r="G40" s="101">
        <f t="shared" si="0"/>
        <v>0</v>
      </c>
      <c r="H40" s="87" t="str">
        <f t="shared" si="1"/>
        <v/>
      </c>
      <c r="I40" s="108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7"/>
      <c r="C41" s="63"/>
      <c r="D41" s="63"/>
      <c r="E41" s="63"/>
      <c r="F41" s="63"/>
      <c r="G41" s="97">
        <f t="shared" si="0"/>
        <v>0</v>
      </c>
      <c r="H41" s="85" t="str">
        <f t="shared" si="1"/>
        <v/>
      </c>
      <c r="I41" s="58"/>
    </row>
    <row r="42" spans="1:15" ht="15" customHeight="1" x14ac:dyDescent="0.25">
      <c r="A42" s="159" t="s">
        <v>27</v>
      </c>
      <c r="B42" s="53" t="s">
        <v>17</v>
      </c>
      <c r="C42" s="66"/>
      <c r="D42" s="68"/>
      <c r="E42" s="68"/>
      <c r="F42" s="68"/>
      <c r="G42" s="96">
        <f t="shared" si="0"/>
        <v>0</v>
      </c>
      <c r="H42" s="92" t="str">
        <f t="shared" si="1"/>
        <v/>
      </c>
      <c r="I42" s="54"/>
      <c r="J42" s="154"/>
      <c r="K42" s="154"/>
      <c r="L42" s="154"/>
      <c r="M42" s="154"/>
      <c r="N42" s="154"/>
      <c r="O42" s="154"/>
    </row>
    <row r="43" spans="1:15" ht="15" customHeight="1" x14ac:dyDescent="0.25">
      <c r="A43" s="159" t="s">
        <v>27</v>
      </c>
      <c r="B43" s="59" t="s">
        <v>18</v>
      </c>
      <c r="C43" s="71"/>
      <c r="D43" s="70"/>
      <c r="E43" s="70"/>
      <c r="F43" s="70"/>
      <c r="G43" s="94">
        <f t="shared" si="0"/>
        <v>0</v>
      </c>
      <c r="H43" s="91" t="str">
        <f t="shared" si="1"/>
        <v/>
      </c>
      <c r="I43" s="60"/>
      <c r="J43" s="154"/>
      <c r="K43" s="154"/>
      <c r="L43" s="154"/>
      <c r="M43" s="154"/>
      <c r="N43" s="154"/>
      <c r="O43" s="154"/>
    </row>
    <row r="44" spans="1:15" ht="15" customHeight="1" x14ac:dyDescent="0.25">
      <c r="A44" s="159" t="s">
        <v>27</v>
      </c>
      <c r="B44" s="53" t="s">
        <v>19</v>
      </c>
      <c r="C44" s="66"/>
      <c r="D44" s="68"/>
      <c r="E44" s="68"/>
      <c r="F44" s="68"/>
      <c r="G44" s="96">
        <f t="shared" si="0"/>
        <v>0</v>
      </c>
      <c r="H44" s="92" t="str">
        <f t="shared" si="1"/>
        <v/>
      </c>
      <c r="I44" s="54"/>
      <c r="J44" s="154"/>
      <c r="K44" s="154"/>
      <c r="L44" s="154"/>
      <c r="M44" s="154"/>
      <c r="N44" s="154"/>
      <c r="O44" s="154"/>
    </row>
    <row r="45" spans="1:15" s="40" customFormat="1" ht="15" customHeight="1" x14ac:dyDescent="0.25">
      <c r="A45" s="38" t="s">
        <v>27</v>
      </c>
      <c r="B45" s="107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7">
        <f t="shared" si="0"/>
        <v>0</v>
      </c>
      <c r="H45" s="85" t="str">
        <f t="shared" si="1"/>
        <v/>
      </c>
      <c r="I45" s="105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51"/>
      <c r="C46" s="64"/>
      <c r="D46" s="64"/>
      <c r="E46" s="64"/>
      <c r="F46" s="64"/>
      <c r="G46" s="101">
        <f t="shared" si="0"/>
        <v>0</v>
      </c>
      <c r="H46" s="87" t="str">
        <f t="shared" si="1"/>
        <v/>
      </c>
      <c r="I46" s="52"/>
    </row>
    <row r="47" spans="1:15" ht="15" customHeight="1" x14ac:dyDescent="0.25">
      <c r="A47" s="159" t="s">
        <v>28</v>
      </c>
      <c r="B47" s="44" t="s">
        <v>17</v>
      </c>
      <c r="C47" s="65"/>
      <c r="D47" s="67"/>
      <c r="E47" s="67"/>
      <c r="F47" s="67"/>
      <c r="G47" s="94">
        <f t="shared" si="0"/>
        <v>0</v>
      </c>
      <c r="H47" s="91" t="str">
        <f t="shared" si="1"/>
        <v/>
      </c>
      <c r="I47" s="34"/>
      <c r="J47" s="154"/>
      <c r="K47" s="154"/>
      <c r="L47" s="154"/>
      <c r="M47" s="154"/>
      <c r="N47" s="154"/>
      <c r="O47" s="154"/>
    </row>
    <row r="48" spans="1:15" ht="15" customHeight="1" x14ac:dyDescent="0.25">
      <c r="A48" s="159" t="s">
        <v>28</v>
      </c>
      <c r="B48" s="53" t="s">
        <v>18</v>
      </c>
      <c r="C48" s="66"/>
      <c r="D48" s="68"/>
      <c r="E48" s="68"/>
      <c r="F48" s="68"/>
      <c r="G48" s="96">
        <f t="shared" si="0"/>
        <v>0</v>
      </c>
      <c r="H48" s="92" t="str">
        <f t="shared" si="1"/>
        <v/>
      </c>
      <c r="I48" s="54"/>
      <c r="J48" s="154"/>
      <c r="K48" s="154"/>
      <c r="L48" s="154"/>
      <c r="M48" s="154"/>
      <c r="N48" s="154"/>
      <c r="O48" s="154"/>
    </row>
    <row r="49" spans="1:15" ht="15" customHeight="1" x14ac:dyDescent="0.25">
      <c r="A49" s="159" t="s">
        <v>28</v>
      </c>
      <c r="B49" s="44" t="s">
        <v>19</v>
      </c>
      <c r="C49" s="65"/>
      <c r="D49" s="67"/>
      <c r="E49" s="67"/>
      <c r="F49" s="67"/>
      <c r="G49" s="94">
        <f t="shared" si="0"/>
        <v>0</v>
      </c>
      <c r="H49" s="91" t="str">
        <f t="shared" si="1"/>
        <v/>
      </c>
      <c r="I49" s="34"/>
      <c r="J49" s="154"/>
      <c r="K49" s="154"/>
      <c r="L49" s="154"/>
      <c r="M49" s="154"/>
      <c r="N49" s="154"/>
      <c r="O49" s="154"/>
    </row>
    <row r="50" spans="1:15" s="40" customFormat="1" ht="15" customHeight="1" x14ac:dyDescent="0.25">
      <c r="A50" s="38" t="s">
        <v>28</v>
      </c>
      <c r="B50" s="86" t="s">
        <v>8</v>
      </c>
      <c r="C50" s="64">
        <f>SUMIFS((C7:C49),(A7:A49),A50)</f>
        <v>0</v>
      </c>
      <c r="D50" s="64">
        <f>SUMIFS((D7:D49),(A7:A49),A50)</f>
        <v>0</v>
      </c>
      <c r="E50" s="64">
        <f>SUMIFS((E7:E49),(A7:A49),A50)</f>
        <v>0</v>
      </c>
      <c r="F50" s="64">
        <f>SUMIFS((F7:F49),(A7:A49),A50)</f>
        <v>0</v>
      </c>
      <c r="G50" s="101">
        <f t="shared" si="0"/>
        <v>0</v>
      </c>
      <c r="H50" s="87" t="str">
        <f t="shared" si="1"/>
        <v/>
      </c>
      <c r="I50" s="108"/>
      <c r="J50" s="39"/>
      <c r="K50" s="39"/>
      <c r="L50" s="39"/>
      <c r="M50" s="39"/>
      <c r="N50" s="39"/>
      <c r="O50" s="39"/>
    </row>
    <row r="51" spans="1:15" ht="15" customHeight="1" x14ac:dyDescent="0.25">
      <c r="C51" s="160"/>
      <c r="D51" s="160"/>
      <c r="E51" s="160"/>
      <c r="F51" s="160"/>
    </row>
    <row r="52" spans="1:15" ht="15" customHeight="1" x14ac:dyDescent="0.25">
      <c r="C52" s="160"/>
      <c r="D52" s="160"/>
      <c r="E52" s="160"/>
      <c r="F52" s="160"/>
    </row>
    <row r="53" spans="1:15" ht="15" customHeight="1" x14ac:dyDescent="0.25">
      <c r="C53" s="160"/>
      <c r="D53" s="160"/>
      <c r="E53" s="160"/>
      <c r="F53" s="160"/>
    </row>
    <row r="54" spans="1:15" ht="15" customHeight="1" x14ac:dyDescent="0.25">
      <c r="C54" s="160"/>
      <c r="D54" s="160"/>
      <c r="E54" s="160"/>
      <c r="F54" s="160"/>
    </row>
    <row r="55" spans="1:15" ht="15" customHeight="1" x14ac:dyDescent="0.25">
      <c r="C55" s="160"/>
      <c r="D55" s="160"/>
      <c r="E55" s="160"/>
      <c r="F55" s="160"/>
    </row>
    <row r="56" spans="1:15" ht="15" customHeight="1" x14ac:dyDescent="0.25">
      <c r="C56" s="160"/>
      <c r="D56" s="160"/>
      <c r="E56" s="160"/>
      <c r="F56" s="160"/>
    </row>
    <row r="57" spans="1:15" ht="15" customHeight="1" x14ac:dyDescent="0.25">
      <c r="C57" s="160"/>
      <c r="D57" s="160"/>
      <c r="E57" s="160"/>
      <c r="F57" s="160"/>
    </row>
    <row r="58" spans="1:15" ht="15" customHeight="1" x14ac:dyDescent="0.25">
      <c r="C58" s="160"/>
      <c r="D58" s="160"/>
      <c r="E58" s="160"/>
      <c r="F58" s="160"/>
    </row>
    <row r="59" spans="1:15" ht="15" customHeight="1" x14ac:dyDescent="0.25">
      <c r="C59" s="160"/>
      <c r="D59" s="160"/>
      <c r="E59" s="160"/>
      <c r="F59" s="160"/>
    </row>
    <row r="60" spans="1:15" ht="15" customHeight="1" x14ac:dyDescent="0.25">
      <c r="C60" s="160"/>
      <c r="D60" s="160"/>
      <c r="E60" s="160"/>
      <c r="F60" s="160"/>
    </row>
    <row r="61" spans="1:15" ht="15" customHeight="1" x14ac:dyDescent="0.25">
      <c r="C61" s="160"/>
      <c r="D61" s="160"/>
      <c r="E61" s="160"/>
      <c r="F61" s="160"/>
    </row>
    <row r="62" spans="1:15" ht="15" customHeight="1" x14ac:dyDescent="0.25">
      <c r="C62" s="160"/>
      <c r="D62" s="160"/>
      <c r="E62" s="160"/>
      <c r="F62" s="160"/>
    </row>
    <row r="63" spans="1:15" ht="15" customHeight="1" x14ac:dyDescent="0.25">
      <c r="C63" s="160"/>
      <c r="D63" s="160"/>
      <c r="E63" s="160"/>
      <c r="F63" s="160"/>
    </row>
    <row r="64" spans="1:15" ht="15" customHeight="1" x14ac:dyDescent="0.25">
      <c r="C64" s="160"/>
      <c r="D64" s="160"/>
      <c r="E64" s="160"/>
      <c r="F64" s="160"/>
    </row>
    <row r="65" spans="3:6" ht="15" customHeight="1" x14ac:dyDescent="0.25">
      <c r="C65" s="160"/>
      <c r="D65" s="160"/>
      <c r="E65" s="160"/>
      <c r="F65" s="160"/>
    </row>
    <row r="66" spans="3:6" ht="15" customHeight="1" x14ac:dyDescent="0.25">
      <c r="C66" s="160"/>
      <c r="D66" s="160"/>
      <c r="E66" s="160"/>
      <c r="F66" s="160"/>
    </row>
    <row r="67" spans="3:6" ht="15" customHeight="1" x14ac:dyDescent="0.25">
      <c r="C67" s="160"/>
      <c r="D67" s="160"/>
      <c r="E67" s="160"/>
      <c r="F67" s="160"/>
    </row>
    <row r="68" spans="3:6" ht="15" customHeight="1" x14ac:dyDescent="0.25">
      <c r="C68" s="160"/>
      <c r="D68" s="160"/>
      <c r="E68" s="160"/>
      <c r="F68" s="160"/>
    </row>
    <row r="69" spans="3:6" ht="15" customHeight="1" x14ac:dyDescent="0.25">
      <c r="C69" s="160"/>
      <c r="D69" s="160"/>
      <c r="E69" s="160"/>
      <c r="F69" s="160"/>
    </row>
    <row r="70" spans="3:6" ht="15" customHeight="1" x14ac:dyDescent="0.25">
      <c r="C70" s="160"/>
      <c r="D70" s="160"/>
      <c r="E70" s="160"/>
      <c r="F70" s="160"/>
    </row>
    <row r="71" spans="3:6" ht="15" customHeight="1" x14ac:dyDescent="0.25">
      <c r="C71" s="160"/>
      <c r="D71" s="160"/>
      <c r="E71" s="160"/>
      <c r="F71" s="160"/>
    </row>
    <row r="72" spans="3:6" ht="15" customHeight="1" x14ac:dyDescent="0.25">
      <c r="C72" s="160"/>
      <c r="D72" s="160"/>
      <c r="E72" s="160"/>
      <c r="F72" s="160"/>
    </row>
    <row r="73" spans="3:6" ht="15" customHeight="1" x14ac:dyDescent="0.25">
      <c r="C73" s="160"/>
      <c r="D73" s="160"/>
      <c r="E73" s="160"/>
      <c r="F73" s="160"/>
    </row>
    <row r="74" spans="3:6" ht="15" customHeight="1" x14ac:dyDescent="0.25">
      <c r="C74" s="160"/>
      <c r="D74" s="160"/>
      <c r="E74" s="160"/>
      <c r="F74" s="160"/>
    </row>
    <row r="75" spans="3:6" ht="15" customHeight="1" x14ac:dyDescent="0.25">
      <c r="C75" s="160"/>
      <c r="D75" s="160"/>
      <c r="E75" s="160"/>
      <c r="F75" s="160"/>
    </row>
    <row r="76" spans="3:6" ht="15" customHeight="1" x14ac:dyDescent="0.25">
      <c r="C76" s="160"/>
      <c r="D76" s="160"/>
      <c r="E76" s="160"/>
      <c r="F76" s="160"/>
    </row>
    <row r="77" spans="3:6" ht="15" customHeight="1" x14ac:dyDescent="0.25">
      <c r="C77" s="160"/>
      <c r="D77" s="160"/>
      <c r="E77" s="160"/>
      <c r="F77" s="160"/>
    </row>
    <row r="78" spans="3:6" ht="15" customHeight="1" x14ac:dyDescent="0.25">
      <c r="C78" s="160"/>
      <c r="D78" s="160"/>
      <c r="E78" s="160"/>
      <c r="F78" s="160"/>
    </row>
    <row r="79" spans="3:6" ht="15" customHeight="1" x14ac:dyDescent="0.25">
      <c r="C79" s="160"/>
      <c r="D79" s="160"/>
      <c r="E79" s="160"/>
      <c r="F79" s="160"/>
    </row>
    <row r="80" spans="3:6" ht="15" customHeight="1" x14ac:dyDescent="0.25">
      <c r="C80" s="160"/>
      <c r="D80" s="160"/>
      <c r="E80" s="160"/>
      <c r="F80" s="160"/>
    </row>
    <row r="81" spans="3:6" ht="15" customHeight="1" x14ac:dyDescent="0.25">
      <c r="C81" s="160"/>
      <c r="D81" s="160"/>
      <c r="E81" s="160"/>
      <c r="F81" s="160"/>
    </row>
    <row r="82" spans="3:6" ht="15" customHeight="1" x14ac:dyDescent="0.25">
      <c r="C82" s="160"/>
      <c r="D82" s="160"/>
      <c r="E82" s="160"/>
      <c r="F82" s="160"/>
    </row>
    <row r="83" spans="3:6" ht="15" customHeight="1" x14ac:dyDescent="0.25">
      <c r="C83" s="160"/>
      <c r="D83" s="160"/>
      <c r="E83" s="160"/>
      <c r="F83" s="160"/>
    </row>
    <row r="84" spans="3:6" ht="15" customHeight="1" x14ac:dyDescent="0.25">
      <c r="C84" s="160"/>
      <c r="D84" s="160"/>
      <c r="E84" s="160"/>
      <c r="F84" s="160"/>
    </row>
    <row r="85" spans="3:6" ht="15" customHeight="1" x14ac:dyDescent="0.25">
      <c r="C85" s="160"/>
      <c r="D85" s="160"/>
      <c r="E85" s="160"/>
      <c r="F85" s="160"/>
    </row>
    <row r="86" spans="3:6" ht="15" customHeight="1" x14ac:dyDescent="0.25">
      <c r="C86" s="160"/>
      <c r="D86" s="160"/>
      <c r="E86" s="160"/>
      <c r="F86" s="160"/>
    </row>
    <row r="87" spans="3:6" ht="15" customHeight="1" x14ac:dyDescent="0.25">
      <c r="C87" s="160"/>
      <c r="D87" s="160"/>
      <c r="E87" s="160"/>
      <c r="F87" s="160"/>
    </row>
    <row r="88" spans="3:6" ht="15" customHeight="1" x14ac:dyDescent="0.25">
      <c r="C88" s="160"/>
      <c r="D88" s="160"/>
      <c r="E88" s="160"/>
      <c r="F88" s="160"/>
    </row>
    <row r="89" spans="3:6" ht="15" customHeight="1" x14ac:dyDescent="0.25">
      <c r="C89" s="160"/>
      <c r="D89" s="160"/>
      <c r="E89" s="160"/>
      <c r="F89" s="160"/>
    </row>
    <row r="90" spans="3:6" ht="15" customHeight="1" x14ac:dyDescent="0.25">
      <c r="C90" s="160"/>
      <c r="D90" s="160"/>
      <c r="E90" s="160"/>
      <c r="F90" s="160"/>
    </row>
    <row r="91" spans="3:6" ht="15" customHeight="1" x14ac:dyDescent="0.25">
      <c r="C91" s="160"/>
      <c r="D91" s="160"/>
      <c r="E91" s="160"/>
      <c r="F91" s="160"/>
    </row>
    <row r="92" spans="3:6" ht="15" customHeight="1" x14ac:dyDescent="0.25">
      <c r="C92" s="160"/>
      <c r="D92" s="160"/>
      <c r="E92" s="160"/>
      <c r="F92" s="160"/>
    </row>
    <row r="93" spans="3:6" ht="15" customHeight="1" x14ac:dyDescent="0.25">
      <c r="C93" s="160"/>
      <c r="D93" s="160"/>
      <c r="E93" s="160"/>
      <c r="F93" s="160"/>
    </row>
    <row r="94" spans="3:6" ht="15" customHeight="1" x14ac:dyDescent="0.25">
      <c r="C94" s="160"/>
      <c r="D94" s="160"/>
      <c r="E94" s="160"/>
      <c r="F94" s="160"/>
    </row>
    <row r="95" spans="3:6" ht="15" customHeight="1" x14ac:dyDescent="0.25">
      <c r="C95" s="160"/>
      <c r="D95" s="160"/>
      <c r="E95" s="160"/>
      <c r="F95" s="160"/>
    </row>
    <row r="96" spans="3:6" ht="15" customHeight="1" x14ac:dyDescent="0.25">
      <c r="C96" s="160"/>
      <c r="D96" s="160"/>
      <c r="E96" s="160"/>
      <c r="F96" s="160"/>
    </row>
    <row r="97" spans="3:6" ht="15" customHeight="1" x14ac:dyDescent="0.25">
      <c r="C97" s="160"/>
      <c r="D97" s="160"/>
      <c r="E97" s="160"/>
      <c r="F97" s="160"/>
    </row>
    <row r="98" spans="3:6" ht="15" customHeight="1" x14ac:dyDescent="0.25">
      <c r="C98" s="160"/>
      <c r="D98" s="160"/>
      <c r="E98" s="160"/>
      <c r="F98" s="160"/>
    </row>
    <row r="99" spans="3:6" ht="15" customHeight="1" x14ac:dyDescent="0.25">
      <c r="C99" s="160"/>
      <c r="D99" s="160"/>
      <c r="E99" s="160"/>
      <c r="F99" s="160"/>
    </row>
    <row r="100" spans="3:6" ht="15" customHeight="1" x14ac:dyDescent="0.25">
      <c r="C100" s="160"/>
      <c r="D100" s="160"/>
      <c r="E100" s="160"/>
      <c r="F100" s="160"/>
    </row>
    <row r="101" spans="3:6" ht="15" customHeight="1" x14ac:dyDescent="0.25">
      <c r="C101" s="160"/>
      <c r="D101" s="160"/>
      <c r="E101" s="160"/>
      <c r="F101" s="160"/>
    </row>
    <row r="102" spans="3:6" ht="15" customHeight="1" x14ac:dyDescent="0.25">
      <c r="C102" s="160"/>
      <c r="D102" s="160"/>
      <c r="E102" s="160"/>
      <c r="F102" s="160"/>
    </row>
    <row r="103" spans="3:6" ht="15" customHeight="1" x14ac:dyDescent="0.25">
      <c r="C103" s="160"/>
      <c r="D103" s="160"/>
      <c r="E103" s="160"/>
      <c r="F103" s="160"/>
    </row>
    <row r="104" spans="3:6" ht="15" customHeight="1" x14ac:dyDescent="0.25">
      <c r="C104" s="160"/>
      <c r="D104" s="160"/>
      <c r="E104" s="160"/>
      <c r="F104" s="160"/>
    </row>
    <row r="105" spans="3:6" ht="15" customHeight="1" x14ac:dyDescent="0.25">
      <c r="C105" s="160"/>
      <c r="D105" s="160"/>
      <c r="E105" s="160"/>
      <c r="F105" s="160"/>
    </row>
    <row r="106" spans="3:6" ht="15" customHeight="1" x14ac:dyDescent="0.25">
      <c r="C106" s="160"/>
      <c r="D106" s="160"/>
      <c r="E106" s="160"/>
      <c r="F106" s="160"/>
    </row>
    <row r="107" spans="3:6" ht="15" customHeight="1" x14ac:dyDescent="0.25">
      <c r="C107" s="160"/>
      <c r="D107" s="160"/>
      <c r="E107" s="160"/>
      <c r="F107" s="160"/>
    </row>
    <row r="108" spans="3:6" ht="15" customHeight="1" x14ac:dyDescent="0.25">
      <c r="C108" s="160"/>
      <c r="D108" s="160"/>
      <c r="E108" s="160"/>
      <c r="F108" s="160"/>
    </row>
    <row r="109" spans="3:6" ht="15" customHeight="1" x14ac:dyDescent="0.25">
      <c r="C109" s="160"/>
      <c r="D109" s="160"/>
      <c r="E109" s="160"/>
      <c r="F109" s="160"/>
    </row>
    <row r="110" spans="3:6" ht="15" customHeight="1" x14ac:dyDescent="0.25">
      <c r="C110" s="160"/>
      <c r="D110" s="160"/>
      <c r="E110" s="160"/>
      <c r="F110" s="160"/>
    </row>
    <row r="111" spans="3:6" ht="15" customHeight="1" x14ac:dyDescent="0.25">
      <c r="C111" s="160"/>
      <c r="D111" s="160"/>
      <c r="E111" s="160"/>
      <c r="F111" s="160"/>
    </row>
    <row r="112" spans="3:6" ht="15" customHeight="1" x14ac:dyDescent="0.25">
      <c r="C112" s="160"/>
      <c r="D112" s="160"/>
      <c r="E112" s="160"/>
      <c r="F112" s="160"/>
    </row>
    <row r="113" spans="3:6" ht="15" customHeight="1" x14ac:dyDescent="0.25">
      <c r="C113" s="160"/>
      <c r="D113" s="160"/>
      <c r="E113" s="160"/>
      <c r="F113" s="160"/>
    </row>
    <row r="114" spans="3:6" ht="15" customHeight="1" x14ac:dyDescent="0.25">
      <c r="C114" s="160"/>
      <c r="D114" s="160"/>
      <c r="E114" s="160"/>
      <c r="F114" s="160"/>
    </row>
    <row r="115" spans="3:6" ht="15" customHeight="1" x14ac:dyDescent="0.25">
      <c r="C115" s="160"/>
      <c r="D115" s="160"/>
      <c r="E115" s="160"/>
      <c r="F115" s="160"/>
    </row>
    <row r="116" spans="3:6" ht="15" customHeight="1" x14ac:dyDescent="0.25">
      <c r="C116" s="160"/>
      <c r="D116" s="160"/>
      <c r="E116" s="160"/>
      <c r="F116" s="160"/>
    </row>
    <row r="117" spans="3:6" ht="15" customHeight="1" x14ac:dyDescent="0.25">
      <c r="C117" s="160"/>
      <c r="D117" s="160"/>
      <c r="E117" s="160"/>
      <c r="F117" s="160"/>
    </row>
    <row r="118" spans="3:6" ht="15" customHeight="1" x14ac:dyDescent="0.25">
      <c r="C118" s="160"/>
      <c r="D118" s="160"/>
      <c r="E118" s="160"/>
      <c r="F118" s="160"/>
    </row>
    <row r="119" spans="3:6" ht="15" customHeight="1" x14ac:dyDescent="0.25">
      <c r="C119" s="160"/>
      <c r="D119" s="160"/>
      <c r="E119" s="160"/>
      <c r="F119" s="160"/>
    </row>
    <row r="120" spans="3:6" ht="15" customHeight="1" x14ac:dyDescent="0.25">
      <c r="C120" s="160"/>
      <c r="D120" s="160"/>
      <c r="E120" s="160"/>
      <c r="F120" s="160"/>
    </row>
    <row r="121" spans="3:6" ht="15" customHeight="1" x14ac:dyDescent="0.25">
      <c r="C121" s="160"/>
      <c r="D121" s="160"/>
      <c r="E121" s="160"/>
      <c r="F121" s="160"/>
    </row>
    <row r="122" spans="3:6" ht="15" customHeight="1" x14ac:dyDescent="0.25">
      <c r="C122" s="160"/>
      <c r="D122" s="160"/>
      <c r="E122" s="160"/>
      <c r="F122" s="160"/>
    </row>
    <row r="123" spans="3:6" ht="15" customHeight="1" x14ac:dyDescent="0.25">
      <c r="C123" s="160"/>
      <c r="D123" s="160"/>
      <c r="E123" s="160"/>
      <c r="F123" s="160"/>
    </row>
    <row r="124" spans="3:6" ht="15" customHeight="1" x14ac:dyDescent="0.25">
      <c r="C124" s="160"/>
      <c r="D124" s="160"/>
      <c r="E124" s="160"/>
      <c r="F124" s="160"/>
    </row>
    <row r="125" spans="3:6" ht="15" customHeight="1" x14ac:dyDescent="0.25">
      <c r="C125" s="160"/>
      <c r="D125" s="160"/>
      <c r="E125" s="160"/>
      <c r="F125" s="160"/>
    </row>
    <row r="126" spans="3:6" ht="15" customHeight="1" x14ac:dyDescent="0.25">
      <c r="C126" s="160"/>
      <c r="D126" s="160"/>
      <c r="E126" s="160"/>
      <c r="F126" s="160"/>
    </row>
    <row r="127" spans="3:6" ht="15" customHeight="1" x14ac:dyDescent="0.25">
      <c r="C127" s="160"/>
      <c r="D127" s="160"/>
      <c r="E127" s="160"/>
      <c r="F127" s="160"/>
    </row>
    <row r="128" spans="3:6" ht="15" customHeight="1" x14ac:dyDescent="0.25">
      <c r="C128" s="160"/>
      <c r="D128" s="160"/>
      <c r="E128" s="160"/>
      <c r="F128" s="160"/>
    </row>
    <row r="129" spans="3:6" ht="15" customHeight="1" x14ac:dyDescent="0.25">
      <c r="C129" s="160"/>
      <c r="D129" s="160"/>
      <c r="E129" s="160"/>
      <c r="F129" s="160"/>
    </row>
    <row r="130" spans="3:6" ht="15" customHeight="1" x14ac:dyDescent="0.25">
      <c r="C130" s="160"/>
      <c r="D130" s="160"/>
      <c r="E130" s="160"/>
      <c r="F130" s="160"/>
    </row>
    <row r="131" spans="3:6" ht="15" customHeight="1" x14ac:dyDescent="0.25">
      <c r="C131" s="160"/>
      <c r="D131" s="160"/>
      <c r="E131" s="160"/>
      <c r="F131" s="160"/>
    </row>
    <row r="132" spans="3:6" ht="15" customHeight="1" x14ac:dyDescent="0.25">
      <c r="C132" s="160"/>
      <c r="D132" s="160"/>
      <c r="E132" s="160"/>
      <c r="F132" s="160"/>
    </row>
    <row r="133" spans="3:6" ht="15" customHeight="1" x14ac:dyDescent="0.25">
      <c r="C133" s="160"/>
      <c r="D133" s="160"/>
      <c r="E133" s="160"/>
      <c r="F133" s="160"/>
    </row>
    <row r="134" spans="3:6" ht="15" customHeight="1" x14ac:dyDescent="0.25">
      <c r="C134" s="160"/>
      <c r="D134" s="160"/>
      <c r="E134" s="160"/>
      <c r="F134" s="160"/>
    </row>
    <row r="135" spans="3:6" ht="15" customHeight="1" x14ac:dyDescent="0.25">
      <c r="C135" s="160"/>
      <c r="D135" s="160"/>
      <c r="E135" s="160"/>
      <c r="F135" s="160"/>
    </row>
    <row r="136" spans="3:6" ht="15" customHeight="1" x14ac:dyDescent="0.25">
      <c r="C136" s="160"/>
      <c r="D136" s="160"/>
      <c r="E136" s="160"/>
      <c r="F136" s="160"/>
    </row>
    <row r="137" spans="3:6" ht="15" customHeight="1" x14ac:dyDescent="0.25">
      <c r="C137" s="160"/>
      <c r="D137" s="160"/>
      <c r="E137" s="160"/>
      <c r="F137" s="160"/>
    </row>
    <row r="138" spans="3:6" ht="15" customHeight="1" x14ac:dyDescent="0.25">
      <c r="C138" s="160"/>
      <c r="D138" s="160"/>
      <c r="E138" s="160"/>
      <c r="F138" s="160"/>
    </row>
    <row r="139" spans="3:6" ht="15" customHeight="1" x14ac:dyDescent="0.25">
      <c r="C139" s="160"/>
      <c r="D139" s="160"/>
      <c r="E139" s="160"/>
      <c r="F139" s="160"/>
    </row>
    <row r="140" spans="3:6" ht="15" customHeight="1" x14ac:dyDescent="0.25">
      <c r="C140" s="160"/>
      <c r="D140" s="160"/>
      <c r="E140" s="160"/>
      <c r="F140" s="160"/>
    </row>
    <row r="141" spans="3:6" ht="15" customHeight="1" x14ac:dyDescent="0.25">
      <c r="C141" s="160"/>
      <c r="D141" s="160"/>
      <c r="E141" s="160"/>
      <c r="F141" s="160"/>
    </row>
    <row r="142" spans="3:6" ht="15" customHeight="1" x14ac:dyDescent="0.25">
      <c r="C142" s="160"/>
      <c r="D142" s="160"/>
      <c r="E142" s="160"/>
      <c r="F142" s="160"/>
    </row>
    <row r="143" spans="3:6" ht="15" customHeight="1" x14ac:dyDescent="0.25">
      <c r="C143" s="160"/>
      <c r="D143" s="160"/>
      <c r="E143" s="160"/>
      <c r="F143" s="160"/>
    </row>
    <row r="144" spans="3:6" ht="15" customHeight="1" x14ac:dyDescent="0.25">
      <c r="C144" s="160"/>
      <c r="D144" s="160"/>
      <c r="E144" s="160"/>
      <c r="F144" s="160"/>
    </row>
    <row r="145" spans="3:6" ht="15" customHeight="1" x14ac:dyDescent="0.25">
      <c r="C145" s="160"/>
      <c r="D145" s="160"/>
      <c r="E145" s="160"/>
      <c r="F145" s="160"/>
    </row>
    <row r="146" spans="3:6" ht="15" customHeight="1" x14ac:dyDescent="0.25">
      <c r="C146" s="160"/>
      <c r="D146" s="160"/>
      <c r="E146" s="160"/>
      <c r="F146" s="160"/>
    </row>
    <row r="147" spans="3:6" ht="15" customHeight="1" x14ac:dyDescent="0.25">
      <c r="C147" s="160"/>
      <c r="D147" s="160"/>
      <c r="E147" s="160"/>
      <c r="F147" s="160"/>
    </row>
    <row r="148" spans="3:6" ht="15" customHeight="1" x14ac:dyDescent="0.25">
      <c r="C148" s="160"/>
      <c r="D148" s="160"/>
      <c r="E148" s="160"/>
      <c r="F148" s="160"/>
    </row>
    <row r="149" spans="3:6" ht="15" customHeight="1" x14ac:dyDescent="0.25">
      <c r="C149" s="160"/>
      <c r="D149" s="160"/>
      <c r="E149" s="160"/>
      <c r="F149" s="160"/>
    </row>
    <row r="150" spans="3:6" ht="15" customHeight="1" x14ac:dyDescent="0.25">
      <c r="C150" s="160"/>
      <c r="D150" s="160"/>
      <c r="E150" s="160"/>
      <c r="F150" s="160"/>
    </row>
    <row r="151" spans="3:6" ht="15" customHeight="1" x14ac:dyDescent="0.25">
      <c r="C151" s="160"/>
      <c r="D151" s="160"/>
      <c r="E151" s="160"/>
      <c r="F151" s="160"/>
    </row>
    <row r="152" spans="3:6" ht="15" customHeight="1" x14ac:dyDescent="0.25">
      <c r="C152" s="160"/>
      <c r="D152" s="160"/>
      <c r="E152" s="160"/>
      <c r="F152" s="160"/>
    </row>
    <row r="153" spans="3:6" ht="15" customHeight="1" x14ac:dyDescent="0.25">
      <c r="C153" s="160"/>
      <c r="D153" s="160"/>
      <c r="E153" s="160"/>
      <c r="F153" s="160"/>
    </row>
    <row r="154" spans="3:6" ht="15" customHeight="1" x14ac:dyDescent="0.25">
      <c r="C154" s="160"/>
      <c r="D154" s="160"/>
      <c r="E154" s="160"/>
      <c r="F154" s="160"/>
    </row>
    <row r="155" spans="3:6" ht="15" customHeight="1" x14ac:dyDescent="0.25">
      <c r="C155" s="160"/>
      <c r="D155" s="160"/>
      <c r="E155" s="160"/>
      <c r="F155" s="160"/>
    </row>
    <row r="156" spans="3:6" ht="15" customHeight="1" x14ac:dyDescent="0.25">
      <c r="C156" s="160"/>
      <c r="D156" s="160"/>
      <c r="E156" s="160"/>
      <c r="F156" s="160"/>
    </row>
    <row r="157" spans="3:6" ht="15" customHeight="1" x14ac:dyDescent="0.25">
      <c r="C157" s="160"/>
      <c r="D157" s="160"/>
      <c r="E157" s="160"/>
      <c r="F157" s="160"/>
    </row>
    <row r="158" spans="3:6" ht="15" customHeight="1" x14ac:dyDescent="0.25">
      <c r="C158" s="160"/>
      <c r="D158" s="160"/>
      <c r="E158" s="160"/>
      <c r="F158" s="160"/>
    </row>
    <row r="159" spans="3:6" ht="15" customHeight="1" x14ac:dyDescent="0.25">
      <c r="C159" s="160"/>
      <c r="D159" s="160"/>
      <c r="E159" s="160"/>
      <c r="F159" s="160"/>
    </row>
    <row r="160" spans="3:6" ht="15" customHeight="1" x14ac:dyDescent="0.25">
      <c r="C160" s="160"/>
      <c r="D160" s="160"/>
      <c r="E160" s="160"/>
      <c r="F160" s="160"/>
    </row>
    <row r="161" spans="3:6" ht="15" customHeight="1" x14ac:dyDescent="0.25">
      <c r="C161" s="160"/>
      <c r="D161" s="160"/>
      <c r="E161" s="160"/>
      <c r="F161" s="160"/>
    </row>
    <row r="162" spans="3:6" ht="15" customHeight="1" x14ac:dyDescent="0.25">
      <c r="C162" s="160"/>
      <c r="D162" s="160"/>
      <c r="E162" s="160"/>
      <c r="F162" s="160"/>
    </row>
    <row r="163" spans="3:6" ht="15" customHeight="1" x14ac:dyDescent="0.25">
      <c r="C163" s="160"/>
      <c r="D163" s="160"/>
      <c r="E163" s="160"/>
      <c r="F163" s="160"/>
    </row>
    <row r="164" spans="3:6" ht="15" customHeight="1" x14ac:dyDescent="0.25">
      <c r="C164" s="160"/>
      <c r="D164" s="160"/>
      <c r="E164" s="160"/>
      <c r="F164" s="160"/>
    </row>
    <row r="165" spans="3:6" ht="15" customHeight="1" x14ac:dyDescent="0.25">
      <c r="C165" s="160"/>
      <c r="D165" s="160"/>
      <c r="E165" s="160"/>
      <c r="F165" s="160"/>
    </row>
    <row r="166" spans="3:6" ht="15" customHeight="1" x14ac:dyDescent="0.25">
      <c r="C166" s="160"/>
      <c r="D166" s="160"/>
      <c r="E166" s="160"/>
      <c r="F166" s="160"/>
    </row>
    <row r="167" spans="3:6" ht="15" customHeight="1" x14ac:dyDescent="0.25">
      <c r="C167" s="160"/>
      <c r="D167" s="160"/>
      <c r="E167" s="160"/>
      <c r="F167" s="160"/>
    </row>
    <row r="168" spans="3:6" ht="15" customHeight="1" x14ac:dyDescent="0.25">
      <c r="C168" s="160"/>
      <c r="D168" s="160"/>
      <c r="E168" s="160"/>
      <c r="F168" s="160"/>
    </row>
    <row r="169" spans="3:6" ht="15" customHeight="1" x14ac:dyDescent="0.25">
      <c r="C169" s="160"/>
      <c r="D169" s="160"/>
      <c r="E169" s="160"/>
      <c r="F169" s="160"/>
    </row>
    <row r="170" spans="3:6" ht="15" customHeight="1" x14ac:dyDescent="0.25">
      <c r="C170" s="160"/>
      <c r="D170" s="160"/>
      <c r="E170" s="160"/>
      <c r="F170" s="160"/>
    </row>
    <row r="171" spans="3:6" ht="15" customHeight="1" x14ac:dyDescent="0.25">
      <c r="C171" s="160"/>
      <c r="D171" s="160"/>
      <c r="E171" s="160"/>
      <c r="F171" s="160"/>
    </row>
    <row r="172" spans="3:6" ht="15" customHeight="1" x14ac:dyDescent="0.25">
      <c r="C172" s="160"/>
      <c r="D172" s="160"/>
      <c r="E172" s="160"/>
      <c r="F172" s="160"/>
    </row>
    <row r="173" spans="3:6" ht="15" customHeight="1" x14ac:dyDescent="0.25">
      <c r="C173" s="160"/>
      <c r="D173" s="160"/>
      <c r="E173" s="160"/>
      <c r="F173" s="160"/>
    </row>
    <row r="174" spans="3:6" ht="15" customHeight="1" x14ac:dyDescent="0.25">
      <c r="C174" s="160"/>
      <c r="D174" s="160"/>
      <c r="E174" s="160"/>
      <c r="F174" s="160"/>
    </row>
    <row r="175" spans="3:6" ht="15" customHeight="1" x14ac:dyDescent="0.25">
      <c r="C175" s="160"/>
      <c r="D175" s="160"/>
      <c r="E175" s="160"/>
      <c r="F175" s="160"/>
    </row>
    <row r="176" spans="3:6" ht="15" customHeight="1" x14ac:dyDescent="0.25">
      <c r="C176" s="160"/>
      <c r="D176" s="160"/>
      <c r="E176" s="160"/>
      <c r="F176" s="160"/>
    </row>
    <row r="177" spans="3:6" ht="15" customHeight="1" x14ac:dyDescent="0.25">
      <c r="C177" s="160"/>
      <c r="D177" s="160"/>
      <c r="E177" s="160"/>
      <c r="F177" s="160"/>
    </row>
    <row r="178" spans="3:6" ht="15" customHeight="1" x14ac:dyDescent="0.25">
      <c r="C178" s="160"/>
      <c r="D178" s="160"/>
      <c r="E178" s="160"/>
      <c r="F178" s="160"/>
    </row>
    <row r="179" spans="3:6" ht="15" customHeight="1" x14ac:dyDescent="0.25">
      <c r="C179" s="160"/>
      <c r="D179" s="160"/>
      <c r="E179" s="160"/>
      <c r="F179" s="160"/>
    </row>
    <row r="180" spans="3:6" ht="15" customHeight="1" x14ac:dyDescent="0.25">
      <c r="C180" s="160"/>
      <c r="D180" s="160"/>
      <c r="E180" s="160"/>
      <c r="F180" s="160"/>
    </row>
    <row r="181" spans="3:6" ht="15" customHeight="1" x14ac:dyDescent="0.25">
      <c r="C181" s="160"/>
      <c r="D181" s="160"/>
      <c r="E181" s="160"/>
      <c r="F181" s="160"/>
    </row>
    <row r="182" spans="3:6" ht="15" customHeight="1" x14ac:dyDescent="0.25">
      <c r="C182" s="160"/>
      <c r="D182" s="160"/>
      <c r="E182" s="160"/>
      <c r="F182" s="160"/>
    </row>
    <row r="183" spans="3:6" ht="15" customHeight="1" x14ac:dyDescent="0.25">
      <c r="C183" s="160"/>
      <c r="D183" s="160"/>
      <c r="E183" s="160"/>
      <c r="F183" s="160"/>
    </row>
    <row r="184" spans="3:6" ht="15" customHeight="1" x14ac:dyDescent="0.25">
      <c r="C184" s="160"/>
      <c r="D184" s="160"/>
      <c r="E184" s="160"/>
      <c r="F184" s="160"/>
    </row>
    <row r="185" spans="3:6" ht="15" customHeight="1" x14ac:dyDescent="0.25">
      <c r="C185" s="160"/>
      <c r="D185" s="160"/>
      <c r="E185" s="160"/>
      <c r="F185" s="160"/>
    </row>
    <row r="186" spans="3:6" ht="15" customHeight="1" x14ac:dyDescent="0.25">
      <c r="C186" s="160"/>
      <c r="D186" s="160"/>
      <c r="E186" s="160"/>
      <c r="F186" s="160"/>
    </row>
    <row r="187" spans="3:6" ht="15" customHeight="1" x14ac:dyDescent="0.25">
      <c r="C187" s="160"/>
      <c r="D187" s="160"/>
      <c r="E187" s="160"/>
      <c r="F187" s="160"/>
    </row>
    <row r="188" spans="3:6" ht="15" customHeight="1" x14ac:dyDescent="0.25">
      <c r="C188" s="160"/>
      <c r="D188" s="160"/>
      <c r="E188" s="160"/>
      <c r="F188" s="160"/>
    </row>
    <row r="189" spans="3:6" ht="15" customHeight="1" x14ac:dyDescent="0.25">
      <c r="C189" s="160"/>
      <c r="D189" s="160"/>
      <c r="E189" s="160"/>
      <c r="F189" s="160"/>
    </row>
    <row r="190" spans="3:6" ht="15" customHeight="1" x14ac:dyDescent="0.25">
      <c r="C190" s="160"/>
      <c r="D190" s="160"/>
      <c r="E190" s="160"/>
      <c r="F190" s="160"/>
    </row>
    <row r="191" spans="3:6" ht="15" customHeight="1" x14ac:dyDescent="0.25">
      <c r="C191" s="160"/>
      <c r="D191" s="160"/>
      <c r="E191" s="160"/>
      <c r="F191" s="160"/>
    </row>
    <row r="192" spans="3:6" ht="15" customHeight="1" x14ac:dyDescent="0.25">
      <c r="C192" s="160"/>
      <c r="D192" s="160"/>
      <c r="E192" s="160"/>
      <c r="F192" s="160"/>
    </row>
    <row r="193" spans="3:6" ht="15" customHeight="1" x14ac:dyDescent="0.25">
      <c r="C193" s="160"/>
      <c r="D193" s="160"/>
      <c r="E193" s="160"/>
      <c r="F193" s="160"/>
    </row>
    <row r="194" spans="3:6" ht="15" customHeight="1" x14ac:dyDescent="0.25">
      <c r="C194" s="160"/>
      <c r="D194" s="160"/>
      <c r="E194" s="160"/>
      <c r="F194" s="160"/>
    </row>
    <row r="195" spans="3:6" ht="15" customHeight="1" x14ac:dyDescent="0.25">
      <c r="C195" s="160"/>
      <c r="D195" s="160"/>
      <c r="E195" s="160"/>
      <c r="F195" s="160"/>
    </row>
    <row r="196" spans="3:6" ht="15" customHeight="1" x14ac:dyDescent="0.25">
      <c r="C196" s="160"/>
      <c r="D196" s="160"/>
      <c r="E196" s="160"/>
      <c r="F196" s="160"/>
    </row>
    <row r="197" spans="3:6" ht="15" customHeight="1" x14ac:dyDescent="0.25">
      <c r="C197" s="160"/>
      <c r="D197" s="160"/>
      <c r="E197" s="160"/>
      <c r="F197" s="160"/>
    </row>
    <row r="198" spans="3:6" ht="15" customHeight="1" x14ac:dyDescent="0.25">
      <c r="C198" s="160"/>
      <c r="D198" s="160"/>
      <c r="E198" s="160"/>
      <c r="F198" s="160"/>
    </row>
    <row r="199" spans="3:6" ht="15" customHeight="1" x14ac:dyDescent="0.25">
      <c r="C199" s="160"/>
      <c r="D199" s="160"/>
      <c r="E199" s="160"/>
      <c r="F199" s="160"/>
    </row>
    <row r="200" spans="3:6" ht="15" customHeight="1" x14ac:dyDescent="0.25">
      <c r="C200" s="160"/>
      <c r="D200" s="160"/>
      <c r="E200" s="160"/>
      <c r="F200" s="160"/>
    </row>
    <row r="201" spans="3:6" ht="15" customHeight="1" x14ac:dyDescent="0.25">
      <c r="C201" s="160"/>
      <c r="D201" s="160"/>
      <c r="E201" s="160"/>
      <c r="F201" s="160"/>
    </row>
    <row r="202" spans="3:6" ht="15" customHeight="1" x14ac:dyDescent="0.25">
      <c r="C202" s="160"/>
      <c r="D202" s="160"/>
      <c r="E202" s="160"/>
      <c r="F202" s="160"/>
    </row>
    <row r="203" spans="3:6" ht="15" customHeight="1" x14ac:dyDescent="0.25">
      <c r="C203" s="160"/>
      <c r="D203" s="160"/>
      <c r="E203" s="160"/>
      <c r="F203" s="160"/>
    </row>
    <row r="204" spans="3:6" ht="15" customHeight="1" x14ac:dyDescent="0.25">
      <c r="C204" s="160"/>
      <c r="D204" s="160"/>
      <c r="E204" s="160"/>
      <c r="F204" s="160"/>
    </row>
    <row r="205" spans="3:6" ht="15" customHeight="1" x14ac:dyDescent="0.25">
      <c r="C205" s="160"/>
      <c r="D205" s="160"/>
      <c r="E205" s="160"/>
      <c r="F205" s="160"/>
    </row>
    <row r="206" spans="3:6" ht="15" customHeight="1" x14ac:dyDescent="0.25">
      <c r="C206" s="160"/>
      <c r="D206" s="160"/>
      <c r="E206" s="160"/>
      <c r="F206" s="160"/>
    </row>
    <row r="207" spans="3:6" ht="15" customHeight="1" x14ac:dyDescent="0.25">
      <c r="C207" s="160"/>
      <c r="D207" s="160"/>
      <c r="E207" s="160"/>
      <c r="F207" s="160"/>
    </row>
    <row r="208" spans="3:6" ht="15" customHeight="1" x14ac:dyDescent="0.25">
      <c r="C208" s="160"/>
      <c r="D208" s="160"/>
      <c r="E208" s="160"/>
      <c r="F208" s="160"/>
    </row>
    <row r="209" spans="3:6" ht="15" customHeight="1" x14ac:dyDescent="0.25">
      <c r="C209" s="160"/>
      <c r="D209" s="160"/>
      <c r="E209" s="160"/>
      <c r="F209" s="160"/>
    </row>
    <row r="210" spans="3:6" ht="15" customHeight="1" x14ac:dyDescent="0.25">
      <c r="C210" s="160"/>
      <c r="D210" s="160"/>
      <c r="E210" s="160"/>
      <c r="F210" s="160"/>
    </row>
    <row r="211" spans="3:6" ht="15" customHeight="1" x14ac:dyDescent="0.25">
      <c r="C211" s="160"/>
      <c r="D211" s="160"/>
      <c r="E211" s="160"/>
      <c r="F211" s="160"/>
    </row>
    <row r="212" spans="3:6" ht="15" customHeight="1" x14ac:dyDescent="0.25">
      <c r="C212" s="160"/>
      <c r="D212" s="160"/>
      <c r="E212" s="160"/>
      <c r="F212" s="160"/>
    </row>
    <row r="213" spans="3:6" ht="15" customHeight="1" x14ac:dyDescent="0.25">
      <c r="C213" s="160"/>
      <c r="D213" s="160"/>
      <c r="E213" s="160"/>
      <c r="F213" s="160"/>
    </row>
    <row r="214" spans="3:6" ht="15" customHeight="1" x14ac:dyDescent="0.25">
      <c r="C214" s="160"/>
      <c r="D214" s="160"/>
      <c r="E214" s="160"/>
      <c r="F214" s="160"/>
    </row>
    <row r="215" spans="3:6" ht="15" customHeight="1" x14ac:dyDescent="0.25">
      <c r="C215" s="160"/>
      <c r="D215" s="160"/>
      <c r="E215" s="160"/>
      <c r="F215" s="160"/>
    </row>
    <row r="216" spans="3:6" ht="15" customHeight="1" x14ac:dyDescent="0.25">
      <c r="C216" s="160"/>
      <c r="D216" s="160"/>
      <c r="E216" s="160"/>
      <c r="F216" s="160"/>
    </row>
    <row r="217" spans="3:6" ht="15" customHeight="1" x14ac:dyDescent="0.25">
      <c r="C217" s="160"/>
      <c r="D217" s="160"/>
      <c r="E217" s="160"/>
      <c r="F217" s="160"/>
    </row>
    <row r="218" spans="3:6" ht="15" customHeight="1" x14ac:dyDescent="0.25">
      <c r="C218" s="160"/>
      <c r="D218" s="160"/>
      <c r="E218" s="160"/>
      <c r="F218" s="160"/>
    </row>
    <row r="219" spans="3:6" ht="15" customHeight="1" x14ac:dyDescent="0.25">
      <c r="C219" s="160"/>
      <c r="D219" s="160"/>
      <c r="E219" s="160"/>
      <c r="F219" s="160"/>
    </row>
    <row r="220" spans="3:6" ht="15" customHeight="1" x14ac:dyDescent="0.25">
      <c r="C220" s="160"/>
      <c r="D220" s="160"/>
      <c r="E220" s="160"/>
      <c r="F220" s="160"/>
    </row>
    <row r="221" spans="3:6" ht="15" customHeight="1" x14ac:dyDescent="0.25">
      <c r="C221" s="160"/>
      <c r="D221" s="160"/>
      <c r="E221" s="160"/>
      <c r="F221" s="160"/>
    </row>
    <row r="222" spans="3:6" ht="15" customHeight="1" x14ac:dyDescent="0.25">
      <c r="C222" s="160"/>
      <c r="D222" s="160"/>
      <c r="E222" s="160"/>
      <c r="F222" s="160"/>
    </row>
    <row r="223" spans="3:6" ht="15" customHeight="1" x14ac:dyDescent="0.25">
      <c r="C223" s="160"/>
      <c r="D223" s="160"/>
      <c r="E223" s="160"/>
      <c r="F223" s="160"/>
    </row>
    <row r="224" spans="3:6" ht="15" customHeight="1" x14ac:dyDescent="0.25">
      <c r="C224" s="160"/>
      <c r="D224" s="160"/>
      <c r="E224" s="160"/>
      <c r="F224" s="160"/>
    </row>
    <row r="225" spans="3:6" ht="15" customHeight="1" x14ac:dyDescent="0.25">
      <c r="C225" s="160"/>
      <c r="D225" s="160"/>
      <c r="E225" s="160"/>
      <c r="F225" s="160"/>
    </row>
    <row r="226" spans="3:6" ht="15" customHeight="1" x14ac:dyDescent="0.25">
      <c r="C226" s="160"/>
      <c r="D226" s="160"/>
      <c r="E226" s="160"/>
      <c r="F226" s="160"/>
    </row>
    <row r="227" spans="3:6" ht="15" customHeight="1" x14ac:dyDescent="0.25">
      <c r="C227" s="160"/>
      <c r="D227" s="160"/>
      <c r="E227" s="160"/>
      <c r="F227" s="160"/>
    </row>
    <row r="228" spans="3:6" ht="15" customHeight="1" x14ac:dyDescent="0.25">
      <c r="C228" s="160"/>
      <c r="D228" s="160"/>
      <c r="E228" s="160"/>
      <c r="F228" s="160"/>
    </row>
    <row r="229" spans="3:6" ht="15" customHeight="1" x14ac:dyDescent="0.25">
      <c r="C229" s="160"/>
      <c r="D229" s="160"/>
      <c r="E229" s="160"/>
      <c r="F229" s="160"/>
    </row>
    <row r="230" spans="3:6" ht="15" customHeight="1" x14ac:dyDescent="0.25">
      <c r="C230" s="160"/>
      <c r="D230" s="160"/>
      <c r="E230" s="160"/>
      <c r="F230" s="160"/>
    </row>
    <row r="231" spans="3:6" ht="15" customHeight="1" x14ac:dyDescent="0.25">
      <c r="C231" s="160"/>
      <c r="D231" s="160"/>
      <c r="E231" s="160"/>
      <c r="F231" s="160"/>
    </row>
    <row r="232" spans="3:6" ht="15" customHeight="1" x14ac:dyDescent="0.25">
      <c r="C232" s="160"/>
      <c r="D232" s="160"/>
      <c r="E232" s="160"/>
      <c r="F232" s="160"/>
    </row>
    <row r="233" spans="3:6" ht="15" customHeight="1" x14ac:dyDescent="0.25">
      <c r="C233" s="160"/>
      <c r="D233" s="160"/>
      <c r="E233" s="160"/>
      <c r="F233" s="160"/>
    </row>
    <row r="234" spans="3:6" ht="15" customHeight="1" x14ac:dyDescent="0.25">
      <c r="C234" s="160"/>
      <c r="D234" s="160"/>
      <c r="E234" s="160"/>
      <c r="F234" s="160"/>
    </row>
    <row r="235" spans="3:6" ht="15" customHeight="1" x14ac:dyDescent="0.25">
      <c r="C235" s="160"/>
      <c r="D235" s="160"/>
      <c r="E235" s="160"/>
      <c r="F235" s="160"/>
    </row>
    <row r="236" spans="3:6" ht="15" customHeight="1" x14ac:dyDescent="0.25">
      <c r="C236" s="160"/>
      <c r="D236" s="160"/>
      <c r="E236" s="160"/>
      <c r="F236" s="160"/>
    </row>
    <row r="237" spans="3:6" ht="15" customHeight="1" x14ac:dyDescent="0.25">
      <c r="C237" s="160"/>
      <c r="D237" s="160"/>
      <c r="E237" s="160"/>
      <c r="F237" s="160"/>
    </row>
    <row r="238" spans="3:6" ht="15" customHeight="1" x14ac:dyDescent="0.25">
      <c r="C238" s="160"/>
      <c r="D238" s="160"/>
      <c r="E238" s="160"/>
      <c r="F238" s="160"/>
    </row>
    <row r="239" spans="3:6" ht="15" customHeight="1" x14ac:dyDescent="0.25">
      <c r="C239" s="160"/>
      <c r="D239" s="160"/>
      <c r="E239" s="160"/>
      <c r="F239" s="160"/>
    </row>
    <row r="240" spans="3:6" ht="15" customHeight="1" x14ac:dyDescent="0.25">
      <c r="C240" s="160"/>
      <c r="D240" s="160"/>
      <c r="E240" s="160"/>
      <c r="F240" s="160"/>
    </row>
    <row r="241" spans="3:6" ht="15" customHeight="1" x14ac:dyDescent="0.25">
      <c r="C241" s="160"/>
      <c r="D241" s="160"/>
      <c r="E241" s="160"/>
      <c r="F241" s="160"/>
    </row>
    <row r="242" spans="3:6" ht="15" customHeight="1" x14ac:dyDescent="0.25">
      <c r="C242" s="160"/>
      <c r="D242" s="160"/>
      <c r="E242" s="160"/>
      <c r="F242" s="160"/>
    </row>
    <row r="243" spans="3:6" ht="15" customHeight="1" x14ac:dyDescent="0.25">
      <c r="C243" s="160"/>
      <c r="D243" s="160"/>
      <c r="E243" s="160"/>
      <c r="F243" s="160"/>
    </row>
    <row r="244" spans="3:6" ht="15" customHeight="1" x14ac:dyDescent="0.25">
      <c r="C244" s="160"/>
      <c r="D244" s="160"/>
      <c r="E244" s="160"/>
      <c r="F244" s="160"/>
    </row>
    <row r="245" spans="3:6" ht="15" customHeight="1" x14ac:dyDescent="0.25">
      <c r="C245" s="160"/>
      <c r="D245" s="160"/>
      <c r="E245" s="160"/>
      <c r="F245" s="160"/>
    </row>
    <row r="246" spans="3:6" ht="15" customHeight="1" x14ac:dyDescent="0.25">
      <c r="C246" s="160"/>
      <c r="D246" s="160"/>
      <c r="E246" s="160"/>
      <c r="F246" s="160"/>
    </row>
    <row r="247" spans="3:6" ht="15" customHeight="1" x14ac:dyDescent="0.25">
      <c r="C247" s="160"/>
      <c r="D247" s="160"/>
      <c r="E247" s="160"/>
      <c r="F247" s="160"/>
    </row>
    <row r="248" spans="3:6" ht="15" customHeight="1" x14ac:dyDescent="0.25">
      <c r="C248" s="160"/>
      <c r="D248" s="160"/>
      <c r="E248" s="160"/>
      <c r="F248" s="160"/>
    </row>
    <row r="249" spans="3:6" ht="15" customHeight="1" x14ac:dyDescent="0.25">
      <c r="C249" s="160"/>
      <c r="D249" s="160"/>
      <c r="E249" s="160"/>
      <c r="F249" s="160"/>
    </row>
    <row r="250" spans="3:6" ht="15" customHeight="1" x14ac:dyDescent="0.25">
      <c r="C250" s="160"/>
      <c r="D250" s="160"/>
      <c r="E250" s="160"/>
      <c r="F250" s="160"/>
    </row>
    <row r="251" spans="3:6" ht="15" customHeight="1" x14ac:dyDescent="0.25">
      <c r="C251" s="160"/>
      <c r="D251" s="160"/>
      <c r="E251" s="160"/>
      <c r="F251" s="160"/>
    </row>
    <row r="252" spans="3:6" ht="15" customHeight="1" x14ac:dyDescent="0.25">
      <c r="C252" s="160"/>
      <c r="D252" s="160"/>
      <c r="E252" s="160"/>
      <c r="F252" s="160"/>
    </row>
    <row r="253" spans="3:6" ht="15" customHeight="1" x14ac:dyDescent="0.25">
      <c r="C253" s="160"/>
      <c r="D253" s="160"/>
      <c r="E253" s="160"/>
      <c r="F253" s="160"/>
    </row>
    <row r="254" spans="3:6" ht="15" customHeight="1" x14ac:dyDescent="0.25">
      <c r="C254" s="160"/>
      <c r="D254" s="160"/>
      <c r="E254" s="160"/>
      <c r="F254" s="160"/>
    </row>
    <row r="255" spans="3:6" ht="15" customHeight="1" x14ac:dyDescent="0.25">
      <c r="C255" s="160"/>
      <c r="D255" s="160"/>
      <c r="E255" s="160"/>
      <c r="F255" s="160"/>
    </row>
    <row r="256" spans="3:6" ht="15" customHeight="1" x14ac:dyDescent="0.25">
      <c r="C256" s="160"/>
      <c r="D256" s="160"/>
      <c r="E256" s="160"/>
      <c r="F256" s="160"/>
    </row>
    <row r="257" spans="3:6" ht="15" customHeight="1" x14ac:dyDescent="0.25">
      <c r="C257" s="160"/>
      <c r="D257" s="160"/>
      <c r="E257" s="160"/>
      <c r="F257" s="160"/>
    </row>
    <row r="258" spans="3:6" ht="15" customHeight="1" x14ac:dyDescent="0.25">
      <c r="C258" s="160"/>
      <c r="D258" s="160"/>
      <c r="E258" s="160"/>
      <c r="F258" s="160"/>
    </row>
    <row r="259" spans="3:6" ht="15" customHeight="1" x14ac:dyDescent="0.25">
      <c r="C259" s="160"/>
      <c r="D259" s="160"/>
      <c r="E259" s="160"/>
      <c r="F259" s="160"/>
    </row>
    <row r="260" spans="3:6" ht="15" customHeight="1" x14ac:dyDescent="0.25">
      <c r="C260" s="160"/>
      <c r="D260" s="160"/>
      <c r="E260" s="160"/>
      <c r="F260" s="160"/>
    </row>
    <row r="261" spans="3:6" ht="15" customHeight="1" x14ac:dyDescent="0.25">
      <c r="C261" s="160"/>
      <c r="D261" s="160"/>
      <c r="E261" s="160"/>
      <c r="F261" s="160"/>
    </row>
    <row r="262" spans="3:6" ht="15" customHeight="1" x14ac:dyDescent="0.25">
      <c r="C262" s="160"/>
      <c r="D262" s="160"/>
      <c r="E262" s="160"/>
      <c r="F262" s="160"/>
    </row>
    <row r="263" spans="3:6" ht="15" customHeight="1" x14ac:dyDescent="0.25">
      <c r="C263" s="160"/>
      <c r="D263" s="160"/>
      <c r="E263" s="160"/>
      <c r="F263" s="160"/>
    </row>
    <row r="264" spans="3:6" ht="15" customHeight="1" x14ac:dyDescent="0.25">
      <c r="C264" s="160"/>
      <c r="D264" s="160"/>
      <c r="E264" s="160"/>
      <c r="F264" s="160"/>
    </row>
    <row r="265" spans="3:6" ht="15" customHeight="1" x14ac:dyDescent="0.25">
      <c r="C265" s="160"/>
      <c r="D265" s="160"/>
      <c r="E265" s="160"/>
      <c r="F265" s="160"/>
    </row>
    <row r="266" spans="3:6" ht="15" customHeight="1" x14ac:dyDescent="0.25">
      <c r="C266" s="160"/>
      <c r="D266" s="160"/>
      <c r="E266" s="160"/>
      <c r="F266" s="160"/>
    </row>
    <row r="267" spans="3:6" ht="15" customHeight="1" x14ac:dyDescent="0.25">
      <c r="C267" s="160"/>
      <c r="D267" s="160"/>
      <c r="E267" s="160"/>
      <c r="F267" s="160"/>
    </row>
    <row r="268" spans="3:6" ht="15" customHeight="1" x14ac:dyDescent="0.25">
      <c r="C268" s="160"/>
      <c r="D268" s="160"/>
      <c r="E268" s="160"/>
      <c r="F268" s="160"/>
    </row>
    <row r="269" spans="3:6" ht="15" customHeight="1" x14ac:dyDescent="0.25">
      <c r="C269" s="160"/>
      <c r="D269" s="160"/>
      <c r="E269" s="160"/>
      <c r="F269" s="160"/>
    </row>
    <row r="270" spans="3:6" ht="15" customHeight="1" x14ac:dyDescent="0.25">
      <c r="C270" s="160"/>
      <c r="D270" s="160"/>
      <c r="E270" s="160"/>
      <c r="F270" s="160"/>
    </row>
    <row r="271" spans="3:6" ht="15" customHeight="1" x14ac:dyDescent="0.25">
      <c r="C271" s="160"/>
      <c r="D271" s="160"/>
      <c r="E271" s="160"/>
      <c r="F271" s="160"/>
    </row>
    <row r="272" spans="3:6" ht="15" customHeight="1" x14ac:dyDescent="0.25">
      <c r="C272" s="160"/>
      <c r="D272" s="160"/>
      <c r="E272" s="160"/>
      <c r="F272" s="160"/>
    </row>
    <row r="273" spans="3:6" ht="15" customHeight="1" x14ac:dyDescent="0.25">
      <c r="C273" s="160"/>
      <c r="D273" s="160"/>
      <c r="E273" s="160"/>
      <c r="F273" s="160"/>
    </row>
    <row r="274" spans="3:6" ht="15" customHeight="1" x14ac:dyDescent="0.25">
      <c r="C274" s="160"/>
      <c r="D274" s="160"/>
      <c r="E274" s="160"/>
      <c r="F274" s="160"/>
    </row>
    <row r="275" spans="3:6" ht="15" customHeight="1" x14ac:dyDescent="0.25">
      <c r="C275" s="160"/>
      <c r="D275" s="160"/>
      <c r="E275" s="160"/>
      <c r="F275" s="160"/>
    </row>
    <row r="276" spans="3:6" ht="15" customHeight="1" x14ac:dyDescent="0.25">
      <c r="C276" s="160"/>
      <c r="D276" s="160"/>
      <c r="E276" s="160"/>
      <c r="F276" s="160"/>
    </row>
    <row r="277" spans="3:6" ht="15" customHeight="1" x14ac:dyDescent="0.25">
      <c r="C277" s="160"/>
      <c r="D277" s="160"/>
      <c r="E277" s="160"/>
      <c r="F277" s="160"/>
    </row>
    <row r="278" spans="3:6" ht="15" customHeight="1" x14ac:dyDescent="0.25">
      <c r="C278" s="160"/>
      <c r="D278" s="160"/>
      <c r="E278" s="160"/>
      <c r="F278" s="160"/>
    </row>
    <row r="279" spans="3:6" ht="15" customHeight="1" x14ac:dyDescent="0.25">
      <c r="C279" s="160"/>
      <c r="D279" s="160"/>
      <c r="E279" s="160"/>
      <c r="F279" s="160"/>
    </row>
    <row r="280" spans="3:6" ht="15" customHeight="1" x14ac:dyDescent="0.25">
      <c r="C280" s="160"/>
      <c r="D280" s="160"/>
      <c r="E280" s="160"/>
      <c r="F280" s="160"/>
    </row>
    <row r="281" spans="3:6" ht="15" customHeight="1" x14ac:dyDescent="0.25">
      <c r="C281" s="160"/>
      <c r="D281" s="160"/>
      <c r="E281" s="160"/>
      <c r="F281" s="160"/>
    </row>
    <row r="282" spans="3:6" ht="15" customHeight="1" x14ac:dyDescent="0.25">
      <c r="C282" s="160"/>
      <c r="D282" s="160"/>
      <c r="E282" s="160"/>
      <c r="F282" s="160"/>
    </row>
    <row r="283" spans="3:6" ht="15" customHeight="1" x14ac:dyDescent="0.25">
      <c r="C283" s="160"/>
      <c r="D283" s="160"/>
      <c r="E283" s="160"/>
      <c r="F283" s="160"/>
    </row>
    <row r="284" spans="3:6" ht="15" customHeight="1" x14ac:dyDescent="0.25">
      <c r="C284" s="160"/>
      <c r="D284" s="160"/>
      <c r="E284" s="160"/>
      <c r="F284" s="160"/>
    </row>
    <row r="285" spans="3:6" ht="15" customHeight="1" x14ac:dyDescent="0.25">
      <c r="C285" s="160"/>
      <c r="D285" s="160"/>
      <c r="E285" s="160"/>
      <c r="F285" s="160"/>
    </row>
    <row r="286" spans="3:6" ht="15" customHeight="1" x14ac:dyDescent="0.25">
      <c r="C286" s="160"/>
      <c r="D286" s="160"/>
      <c r="E286" s="160"/>
      <c r="F286" s="160"/>
    </row>
    <row r="287" spans="3:6" ht="15" customHeight="1" x14ac:dyDescent="0.25">
      <c r="C287" s="160"/>
      <c r="D287" s="160"/>
      <c r="E287" s="160"/>
      <c r="F287" s="160"/>
    </row>
    <row r="288" spans="3:6" ht="15" customHeight="1" x14ac:dyDescent="0.25">
      <c r="C288" s="160"/>
      <c r="D288" s="160"/>
      <c r="E288" s="160"/>
      <c r="F288" s="160"/>
    </row>
    <row r="289" spans="3:6" ht="15" customHeight="1" x14ac:dyDescent="0.25">
      <c r="C289" s="160"/>
      <c r="D289" s="160"/>
      <c r="E289" s="160"/>
      <c r="F289" s="160"/>
    </row>
    <row r="290" spans="3:6" ht="15" customHeight="1" x14ac:dyDescent="0.25">
      <c r="C290" s="160"/>
      <c r="D290" s="160"/>
      <c r="E290" s="160"/>
      <c r="F290" s="160"/>
    </row>
    <row r="291" spans="3:6" ht="15" customHeight="1" x14ac:dyDescent="0.25">
      <c r="C291" s="160"/>
      <c r="D291" s="160"/>
      <c r="E291" s="160"/>
      <c r="F291" s="160"/>
    </row>
    <row r="292" spans="3:6" ht="15" customHeight="1" x14ac:dyDescent="0.25">
      <c r="C292" s="160"/>
      <c r="D292" s="160"/>
      <c r="E292" s="160"/>
      <c r="F292" s="160"/>
    </row>
    <row r="293" spans="3:6" ht="15" customHeight="1" x14ac:dyDescent="0.25">
      <c r="C293" s="160"/>
      <c r="D293" s="160"/>
      <c r="E293" s="160"/>
      <c r="F293" s="160"/>
    </row>
    <row r="294" spans="3:6" ht="15" customHeight="1" x14ac:dyDescent="0.25">
      <c r="C294" s="160"/>
      <c r="D294" s="160"/>
      <c r="E294" s="160"/>
      <c r="F294" s="160"/>
    </row>
    <row r="295" spans="3:6" ht="15" customHeight="1" x14ac:dyDescent="0.25">
      <c r="C295" s="160"/>
      <c r="D295" s="160"/>
      <c r="E295" s="160"/>
      <c r="F295" s="160"/>
    </row>
    <row r="296" spans="3:6" ht="15" customHeight="1" x14ac:dyDescent="0.25">
      <c r="C296" s="160"/>
      <c r="D296" s="160"/>
      <c r="E296" s="160"/>
      <c r="F296" s="160"/>
    </row>
    <row r="297" spans="3:6" ht="15" customHeight="1" x14ac:dyDescent="0.25">
      <c r="C297" s="160"/>
      <c r="D297" s="160"/>
      <c r="E297" s="160"/>
      <c r="F297" s="160"/>
    </row>
    <row r="298" spans="3:6" ht="15" customHeight="1" x14ac:dyDescent="0.25">
      <c r="C298" s="160"/>
      <c r="D298" s="160"/>
      <c r="E298" s="160"/>
      <c r="F298" s="160"/>
    </row>
    <row r="299" spans="3:6" ht="15" customHeight="1" x14ac:dyDescent="0.25">
      <c r="C299" s="160"/>
      <c r="D299" s="160"/>
      <c r="E299" s="160"/>
      <c r="F299" s="160"/>
    </row>
    <row r="300" spans="3:6" ht="15" customHeight="1" x14ac:dyDescent="0.25">
      <c r="C300" s="160"/>
      <c r="D300" s="160"/>
      <c r="E300" s="160"/>
      <c r="F300" s="160"/>
    </row>
    <row r="301" spans="3:6" ht="15" customHeight="1" x14ac:dyDescent="0.25">
      <c r="C301" s="160"/>
      <c r="D301" s="160"/>
      <c r="E301" s="160"/>
      <c r="F301" s="160"/>
    </row>
    <row r="302" spans="3:6" ht="15" customHeight="1" x14ac:dyDescent="0.25">
      <c r="C302" s="160"/>
      <c r="D302" s="160"/>
      <c r="E302" s="160"/>
      <c r="F302" s="160"/>
    </row>
    <row r="303" spans="3:6" ht="15" customHeight="1" x14ac:dyDescent="0.25">
      <c r="C303" s="160"/>
      <c r="D303" s="160"/>
      <c r="E303" s="160"/>
      <c r="F303" s="160"/>
    </row>
    <row r="304" spans="3:6" ht="15" customHeight="1" x14ac:dyDescent="0.25">
      <c r="C304" s="160"/>
      <c r="D304" s="160"/>
      <c r="E304" s="160"/>
      <c r="F304" s="160"/>
    </row>
    <row r="305" spans="3:6" ht="15" customHeight="1" x14ac:dyDescent="0.25">
      <c r="C305" s="160"/>
      <c r="D305" s="160"/>
      <c r="E305" s="160"/>
      <c r="F305" s="160"/>
    </row>
    <row r="306" spans="3:6" ht="15" customHeight="1" x14ac:dyDescent="0.25">
      <c r="C306" s="160"/>
      <c r="D306" s="160"/>
      <c r="E306" s="160"/>
      <c r="F306" s="160"/>
    </row>
    <row r="307" spans="3:6" ht="15" customHeight="1" x14ac:dyDescent="0.25">
      <c r="C307" s="160"/>
      <c r="D307" s="160"/>
      <c r="E307" s="160"/>
      <c r="F307" s="160"/>
    </row>
    <row r="308" spans="3:6" ht="15" customHeight="1" x14ac:dyDescent="0.25">
      <c r="C308" s="160"/>
      <c r="D308" s="160"/>
      <c r="E308" s="160"/>
      <c r="F308" s="160"/>
    </row>
    <row r="309" spans="3:6" ht="15" customHeight="1" x14ac:dyDescent="0.25">
      <c r="C309" s="160"/>
      <c r="D309" s="160"/>
      <c r="E309" s="160"/>
      <c r="F309" s="160"/>
    </row>
    <row r="310" spans="3:6" ht="15" customHeight="1" x14ac:dyDescent="0.25">
      <c r="C310" s="160"/>
      <c r="D310" s="160"/>
      <c r="E310" s="160"/>
      <c r="F310" s="160"/>
    </row>
    <row r="311" spans="3:6" ht="15" customHeight="1" x14ac:dyDescent="0.25">
      <c r="C311" s="160"/>
      <c r="D311" s="160"/>
      <c r="E311" s="160"/>
      <c r="F311" s="160"/>
    </row>
    <row r="312" spans="3:6" ht="15" customHeight="1" x14ac:dyDescent="0.25">
      <c r="C312" s="160"/>
      <c r="D312" s="160"/>
      <c r="E312" s="160"/>
      <c r="F312" s="160"/>
    </row>
    <row r="313" spans="3:6" ht="15" customHeight="1" x14ac:dyDescent="0.25">
      <c r="C313" s="160"/>
      <c r="D313" s="160"/>
      <c r="E313" s="160"/>
      <c r="F313" s="160"/>
    </row>
    <row r="314" spans="3:6" ht="15" customHeight="1" x14ac:dyDescent="0.25">
      <c r="C314" s="160"/>
      <c r="D314" s="160"/>
      <c r="E314" s="160"/>
      <c r="F314" s="160"/>
    </row>
    <row r="315" spans="3:6" ht="15" customHeight="1" x14ac:dyDescent="0.25">
      <c r="C315" s="160"/>
      <c r="D315" s="160"/>
      <c r="E315" s="160"/>
      <c r="F315" s="160"/>
    </row>
    <row r="316" spans="3:6" ht="15" customHeight="1" x14ac:dyDescent="0.25">
      <c r="C316" s="160"/>
      <c r="D316" s="160"/>
      <c r="E316" s="160"/>
      <c r="F316" s="160"/>
    </row>
    <row r="317" spans="3:6" ht="15" customHeight="1" x14ac:dyDescent="0.25">
      <c r="C317" s="160"/>
      <c r="D317" s="160"/>
      <c r="E317" s="160"/>
      <c r="F317" s="160"/>
    </row>
    <row r="318" spans="3:6" ht="15" customHeight="1" x14ac:dyDescent="0.25">
      <c r="C318" s="160"/>
      <c r="D318" s="160"/>
      <c r="E318" s="160"/>
      <c r="F318" s="160"/>
    </row>
    <row r="319" spans="3:6" ht="15" customHeight="1" x14ac:dyDescent="0.25">
      <c r="C319" s="160"/>
      <c r="D319" s="160"/>
      <c r="E319" s="160"/>
      <c r="F319" s="160"/>
    </row>
    <row r="320" spans="3:6" ht="15" customHeight="1" x14ac:dyDescent="0.25">
      <c r="C320" s="160"/>
      <c r="D320" s="160"/>
      <c r="E320" s="160"/>
      <c r="F320" s="160"/>
    </row>
    <row r="321" spans="3:6" ht="15" customHeight="1" x14ac:dyDescent="0.25">
      <c r="C321" s="160"/>
      <c r="D321" s="160"/>
      <c r="E321" s="160"/>
      <c r="F321" s="160"/>
    </row>
    <row r="322" spans="3:6" ht="15" customHeight="1" x14ac:dyDescent="0.25">
      <c r="C322" s="160"/>
      <c r="D322" s="160"/>
      <c r="E322" s="160"/>
      <c r="F322" s="160"/>
    </row>
    <row r="323" spans="3:6" ht="15" customHeight="1" x14ac:dyDescent="0.25">
      <c r="C323" s="160"/>
      <c r="D323" s="160"/>
      <c r="E323" s="160"/>
      <c r="F323" s="160"/>
    </row>
    <row r="324" spans="3:6" ht="15" customHeight="1" x14ac:dyDescent="0.25">
      <c r="C324" s="160"/>
      <c r="D324" s="160"/>
      <c r="E324" s="160"/>
      <c r="F324" s="160"/>
    </row>
    <row r="325" spans="3:6" ht="15" customHeight="1" x14ac:dyDescent="0.25">
      <c r="C325" s="160"/>
      <c r="D325" s="160"/>
      <c r="E325" s="160"/>
      <c r="F325" s="160"/>
    </row>
    <row r="326" spans="3:6" ht="15" customHeight="1" x14ac:dyDescent="0.25">
      <c r="C326" s="160"/>
      <c r="D326" s="160"/>
      <c r="E326" s="160"/>
      <c r="F326" s="160"/>
    </row>
    <row r="327" spans="3:6" ht="15" customHeight="1" x14ac:dyDescent="0.25">
      <c r="C327" s="160"/>
      <c r="D327" s="160"/>
      <c r="E327" s="160"/>
      <c r="F327" s="160"/>
    </row>
    <row r="328" spans="3:6" ht="15" customHeight="1" x14ac:dyDescent="0.25">
      <c r="C328" s="160"/>
      <c r="D328" s="160"/>
      <c r="E328" s="160"/>
      <c r="F328" s="160"/>
    </row>
    <row r="329" spans="3:6" ht="15" customHeight="1" x14ac:dyDescent="0.25">
      <c r="C329" s="160"/>
      <c r="D329" s="160"/>
      <c r="E329" s="160"/>
      <c r="F329" s="160"/>
    </row>
    <row r="330" spans="3:6" ht="15" customHeight="1" x14ac:dyDescent="0.25">
      <c r="C330" s="160"/>
      <c r="D330" s="160"/>
      <c r="E330" s="160"/>
      <c r="F330" s="160"/>
    </row>
    <row r="331" spans="3:6" ht="15" customHeight="1" x14ac:dyDescent="0.25">
      <c r="C331" s="160"/>
      <c r="D331" s="160"/>
      <c r="E331" s="160"/>
      <c r="F331" s="160"/>
    </row>
    <row r="332" spans="3:6" ht="15" customHeight="1" x14ac:dyDescent="0.25">
      <c r="C332" s="160"/>
      <c r="D332" s="160"/>
      <c r="E332" s="160"/>
      <c r="F332" s="160"/>
    </row>
    <row r="333" spans="3:6" ht="15" customHeight="1" x14ac:dyDescent="0.25">
      <c r="C333" s="160"/>
      <c r="D333" s="160"/>
      <c r="E333" s="160"/>
      <c r="F333" s="160"/>
    </row>
    <row r="334" spans="3:6" ht="15" customHeight="1" x14ac:dyDescent="0.25">
      <c r="C334" s="160"/>
      <c r="D334" s="160"/>
      <c r="E334" s="160"/>
      <c r="F334" s="160"/>
    </row>
    <row r="335" spans="3:6" ht="15" customHeight="1" x14ac:dyDescent="0.25">
      <c r="C335" s="160"/>
      <c r="D335" s="160"/>
      <c r="E335" s="160"/>
      <c r="F335" s="160"/>
    </row>
    <row r="336" spans="3:6" ht="15" customHeight="1" x14ac:dyDescent="0.25">
      <c r="C336" s="160"/>
      <c r="D336" s="160"/>
      <c r="E336" s="160"/>
      <c r="F336" s="160"/>
    </row>
    <row r="337" spans="3:6" ht="15" customHeight="1" x14ac:dyDescent="0.25">
      <c r="C337" s="160"/>
      <c r="D337" s="160"/>
      <c r="E337" s="160"/>
      <c r="F337" s="160"/>
    </row>
    <row r="338" spans="3:6" ht="15" customHeight="1" x14ac:dyDescent="0.25">
      <c r="C338" s="160"/>
      <c r="D338" s="160"/>
      <c r="E338" s="160"/>
      <c r="F338" s="160"/>
    </row>
    <row r="339" spans="3:6" ht="15" customHeight="1" x14ac:dyDescent="0.25">
      <c r="C339" s="160"/>
      <c r="D339" s="160"/>
      <c r="E339" s="160"/>
      <c r="F339" s="160"/>
    </row>
    <row r="340" spans="3:6" ht="15" customHeight="1" x14ac:dyDescent="0.25">
      <c r="C340" s="160"/>
      <c r="D340" s="160"/>
      <c r="E340" s="160"/>
      <c r="F340" s="160"/>
    </row>
    <row r="341" spans="3:6" ht="15" customHeight="1" x14ac:dyDescent="0.25">
      <c r="C341" s="160"/>
      <c r="D341" s="160"/>
      <c r="E341" s="160"/>
      <c r="F341" s="160"/>
    </row>
    <row r="342" spans="3:6" ht="15" customHeight="1" x14ac:dyDescent="0.25">
      <c r="C342" s="160"/>
      <c r="D342" s="160"/>
      <c r="E342" s="160"/>
      <c r="F342" s="160"/>
    </row>
    <row r="343" spans="3:6" ht="15" customHeight="1" x14ac:dyDescent="0.25">
      <c r="C343" s="160"/>
      <c r="D343" s="160"/>
      <c r="E343" s="160"/>
      <c r="F343" s="160"/>
    </row>
    <row r="344" spans="3:6" ht="15" customHeight="1" x14ac:dyDescent="0.25">
      <c r="C344" s="160"/>
      <c r="D344" s="160"/>
      <c r="E344" s="160"/>
      <c r="F344" s="160"/>
    </row>
    <row r="345" spans="3:6" ht="15" customHeight="1" x14ac:dyDescent="0.25">
      <c r="C345" s="160"/>
      <c r="D345" s="160"/>
      <c r="E345" s="160"/>
      <c r="F345" s="160"/>
    </row>
    <row r="346" spans="3:6" ht="15" customHeight="1" x14ac:dyDescent="0.25">
      <c r="C346" s="160"/>
      <c r="D346" s="160"/>
      <c r="E346" s="160"/>
      <c r="F346" s="160"/>
    </row>
    <row r="347" spans="3:6" ht="15" customHeight="1" x14ac:dyDescent="0.25">
      <c r="C347" s="160"/>
      <c r="D347" s="160"/>
      <c r="E347" s="160"/>
      <c r="F347" s="160"/>
    </row>
    <row r="348" spans="3:6" ht="15" customHeight="1" x14ac:dyDescent="0.25">
      <c r="C348" s="160"/>
      <c r="D348" s="160"/>
      <c r="E348" s="160"/>
      <c r="F348" s="160"/>
    </row>
    <row r="349" spans="3:6" ht="15" customHeight="1" x14ac:dyDescent="0.25">
      <c r="C349" s="160"/>
      <c r="D349" s="160"/>
      <c r="E349" s="160"/>
      <c r="F349" s="160"/>
    </row>
    <row r="350" spans="3:6" ht="15" customHeight="1" x14ac:dyDescent="0.25">
      <c r="C350" s="160"/>
      <c r="D350" s="160"/>
      <c r="E350" s="160"/>
      <c r="F350" s="160"/>
    </row>
    <row r="351" spans="3:6" ht="15" customHeight="1" x14ac:dyDescent="0.25">
      <c r="C351" s="160"/>
      <c r="D351" s="160"/>
      <c r="E351" s="160"/>
      <c r="F351" s="160"/>
    </row>
    <row r="352" spans="3:6" ht="15" customHeight="1" x14ac:dyDescent="0.25">
      <c r="C352" s="160"/>
      <c r="D352" s="160"/>
      <c r="E352" s="160"/>
      <c r="F352" s="160"/>
    </row>
    <row r="353" spans="3:6" ht="15" customHeight="1" x14ac:dyDescent="0.25">
      <c r="C353" s="160"/>
      <c r="D353" s="160"/>
      <c r="E353" s="160"/>
      <c r="F353" s="160"/>
    </row>
    <row r="354" spans="3:6" ht="15" customHeight="1" x14ac:dyDescent="0.25">
      <c r="C354" s="160"/>
      <c r="D354" s="160"/>
      <c r="E354" s="160"/>
      <c r="F354" s="160"/>
    </row>
    <row r="355" spans="3:6" ht="15" customHeight="1" x14ac:dyDescent="0.25">
      <c r="C355" s="160"/>
      <c r="D355" s="160"/>
      <c r="E355" s="160"/>
      <c r="F355" s="160"/>
    </row>
    <row r="356" spans="3:6" ht="15" customHeight="1" x14ac:dyDescent="0.25">
      <c r="C356" s="160"/>
      <c r="D356" s="160"/>
      <c r="E356" s="160"/>
      <c r="F356" s="160"/>
    </row>
    <row r="357" spans="3:6" ht="15" customHeight="1" x14ac:dyDescent="0.25">
      <c r="C357" s="160"/>
      <c r="D357" s="160"/>
      <c r="E357" s="160"/>
      <c r="F357" s="160"/>
    </row>
    <row r="358" spans="3:6" ht="15" customHeight="1" x14ac:dyDescent="0.25">
      <c r="C358" s="160"/>
      <c r="D358" s="160"/>
      <c r="E358" s="160"/>
      <c r="F358" s="160"/>
    </row>
    <row r="359" spans="3:6" ht="15" customHeight="1" x14ac:dyDescent="0.25">
      <c r="C359" s="160"/>
      <c r="D359" s="160"/>
      <c r="E359" s="160"/>
      <c r="F359" s="160"/>
    </row>
    <row r="360" spans="3:6" ht="15" customHeight="1" x14ac:dyDescent="0.25">
      <c r="C360" s="160"/>
      <c r="D360" s="160"/>
      <c r="E360" s="160"/>
      <c r="F360" s="160"/>
    </row>
    <row r="361" spans="3:6" ht="15" customHeight="1" x14ac:dyDescent="0.25">
      <c r="C361" s="160"/>
      <c r="D361" s="160"/>
      <c r="E361" s="160"/>
      <c r="F361" s="160"/>
    </row>
    <row r="362" spans="3:6" ht="15" customHeight="1" x14ac:dyDescent="0.25">
      <c r="C362" s="160"/>
      <c r="D362" s="160"/>
      <c r="E362" s="160"/>
      <c r="F362" s="160"/>
    </row>
    <row r="363" spans="3:6" ht="15" customHeight="1" x14ac:dyDescent="0.25">
      <c r="C363" s="160"/>
      <c r="D363" s="160"/>
      <c r="E363" s="160"/>
      <c r="F363" s="160"/>
    </row>
    <row r="364" spans="3:6" ht="15" customHeight="1" x14ac:dyDescent="0.25">
      <c r="C364" s="160"/>
      <c r="D364" s="160"/>
      <c r="E364" s="160"/>
      <c r="F364" s="160"/>
    </row>
    <row r="365" spans="3:6" ht="15" customHeight="1" x14ac:dyDescent="0.25">
      <c r="C365" s="160"/>
      <c r="D365" s="160"/>
      <c r="E365" s="160"/>
      <c r="F365" s="160"/>
    </row>
    <row r="366" spans="3:6" ht="15" customHeight="1" x14ac:dyDescent="0.25">
      <c r="C366" s="160"/>
      <c r="D366" s="160"/>
      <c r="E366" s="160"/>
      <c r="F366" s="160"/>
    </row>
    <row r="367" spans="3:6" ht="15" customHeight="1" x14ac:dyDescent="0.25">
      <c r="C367" s="160"/>
      <c r="D367" s="160"/>
      <c r="E367" s="160"/>
      <c r="F367" s="160"/>
    </row>
    <row r="368" spans="3:6" ht="15" customHeight="1" x14ac:dyDescent="0.25">
      <c r="C368" s="160"/>
      <c r="D368" s="160"/>
      <c r="E368" s="160"/>
      <c r="F368" s="160"/>
    </row>
    <row r="369" spans="3:6" ht="15" customHeight="1" x14ac:dyDescent="0.25">
      <c r="C369" s="160"/>
      <c r="D369" s="160"/>
      <c r="E369" s="160"/>
      <c r="F369" s="160"/>
    </row>
    <row r="370" spans="3:6" ht="15" customHeight="1" x14ac:dyDescent="0.25">
      <c r="C370" s="160"/>
      <c r="D370" s="160"/>
      <c r="E370" s="160"/>
      <c r="F370" s="160"/>
    </row>
    <row r="371" spans="3:6" ht="15" customHeight="1" x14ac:dyDescent="0.25">
      <c r="C371" s="160"/>
      <c r="D371" s="160"/>
      <c r="E371" s="160"/>
      <c r="F371" s="160"/>
    </row>
    <row r="372" spans="3:6" ht="15" customHeight="1" x14ac:dyDescent="0.25">
      <c r="C372" s="160"/>
      <c r="D372" s="160"/>
      <c r="E372" s="160"/>
      <c r="F372" s="160"/>
    </row>
    <row r="373" spans="3:6" ht="15" customHeight="1" x14ac:dyDescent="0.25">
      <c r="C373" s="160"/>
      <c r="D373" s="160"/>
      <c r="E373" s="160"/>
      <c r="F373" s="160"/>
    </row>
    <row r="374" spans="3:6" ht="15" customHeight="1" x14ac:dyDescent="0.25">
      <c r="C374" s="160"/>
      <c r="D374" s="160"/>
      <c r="E374" s="160"/>
      <c r="F374" s="160"/>
    </row>
    <row r="375" spans="3:6" ht="15" customHeight="1" x14ac:dyDescent="0.25">
      <c r="C375" s="160"/>
      <c r="D375" s="160"/>
      <c r="E375" s="160"/>
      <c r="F375" s="160"/>
    </row>
    <row r="376" spans="3:6" ht="15" customHeight="1" x14ac:dyDescent="0.25">
      <c r="C376" s="160"/>
      <c r="D376" s="160"/>
      <c r="E376" s="160"/>
      <c r="F376" s="160"/>
    </row>
    <row r="377" spans="3:6" ht="15" customHeight="1" x14ac:dyDescent="0.25">
      <c r="C377" s="160"/>
      <c r="D377" s="160"/>
      <c r="E377" s="160"/>
      <c r="F377" s="160"/>
    </row>
    <row r="378" spans="3:6" ht="15" customHeight="1" x14ac:dyDescent="0.25">
      <c r="C378" s="160"/>
      <c r="D378" s="160"/>
      <c r="E378" s="160"/>
      <c r="F378" s="160"/>
    </row>
    <row r="379" spans="3:6" ht="15" customHeight="1" x14ac:dyDescent="0.25">
      <c r="C379" s="160"/>
      <c r="D379" s="160"/>
      <c r="E379" s="160"/>
      <c r="F379" s="160"/>
    </row>
    <row r="380" spans="3:6" ht="15" customHeight="1" x14ac:dyDescent="0.25">
      <c r="C380" s="160"/>
      <c r="D380" s="160"/>
      <c r="E380" s="160"/>
      <c r="F380" s="160"/>
    </row>
    <row r="381" spans="3:6" ht="15" customHeight="1" x14ac:dyDescent="0.25">
      <c r="C381" s="160"/>
      <c r="D381" s="160"/>
      <c r="E381" s="160"/>
      <c r="F381" s="160"/>
    </row>
    <row r="382" spans="3:6" ht="15" customHeight="1" x14ac:dyDescent="0.25">
      <c r="C382" s="160"/>
      <c r="D382" s="160"/>
      <c r="E382" s="160"/>
      <c r="F382" s="160"/>
    </row>
    <row r="383" spans="3:6" ht="15" customHeight="1" x14ac:dyDescent="0.25">
      <c r="C383" s="160"/>
      <c r="D383" s="160"/>
      <c r="E383" s="160"/>
      <c r="F383" s="160"/>
    </row>
    <row r="384" spans="3:6" ht="15" customHeight="1" x14ac:dyDescent="0.25">
      <c r="C384" s="160"/>
      <c r="D384" s="160"/>
      <c r="E384" s="160"/>
      <c r="F384" s="160"/>
    </row>
    <row r="385" spans="3:6" ht="15" customHeight="1" x14ac:dyDescent="0.25">
      <c r="C385" s="160"/>
      <c r="D385" s="160"/>
      <c r="E385" s="160"/>
      <c r="F385" s="160"/>
    </row>
    <row r="386" spans="3:6" ht="15" customHeight="1" x14ac:dyDescent="0.25">
      <c r="C386" s="160"/>
      <c r="D386" s="160"/>
      <c r="E386" s="160"/>
      <c r="F386" s="160"/>
    </row>
    <row r="387" spans="3:6" ht="15" customHeight="1" x14ac:dyDescent="0.25">
      <c r="C387" s="160"/>
      <c r="D387" s="160"/>
      <c r="E387" s="160"/>
      <c r="F387" s="160"/>
    </row>
    <row r="388" spans="3:6" ht="15" customHeight="1" x14ac:dyDescent="0.25">
      <c r="C388" s="160"/>
      <c r="D388" s="160"/>
      <c r="E388" s="160"/>
      <c r="F388" s="160"/>
    </row>
    <row r="389" spans="3:6" ht="15" customHeight="1" x14ac:dyDescent="0.25">
      <c r="C389" s="160"/>
      <c r="D389" s="160"/>
      <c r="E389" s="160"/>
      <c r="F389" s="160"/>
    </row>
    <row r="390" spans="3:6" ht="15" customHeight="1" x14ac:dyDescent="0.25">
      <c r="C390" s="160"/>
      <c r="D390" s="160"/>
      <c r="E390" s="160"/>
      <c r="F390" s="160"/>
    </row>
    <row r="391" spans="3:6" ht="15" customHeight="1" x14ac:dyDescent="0.25">
      <c r="C391" s="160"/>
      <c r="D391" s="160"/>
      <c r="E391" s="160"/>
      <c r="F391" s="160"/>
    </row>
    <row r="392" spans="3:6" ht="15" customHeight="1" x14ac:dyDescent="0.25">
      <c r="C392" s="160"/>
      <c r="D392" s="160"/>
      <c r="E392" s="160"/>
      <c r="F392" s="160"/>
    </row>
    <row r="393" spans="3:6" ht="15" customHeight="1" x14ac:dyDescent="0.25">
      <c r="C393" s="160"/>
      <c r="D393" s="160"/>
      <c r="E393" s="160"/>
      <c r="F393" s="160"/>
    </row>
    <row r="394" spans="3:6" ht="15" customHeight="1" x14ac:dyDescent="0.25">
      <c r="C394" s="160"/>
      <c r="D394" s="160"/>
      <c r="E394" s="160"/>
      <c r="F394" s="160"/>
    </row>
    <row r="395" spans="3:6" ht="15" customHeight="1" x14ac:dyDescent="0.25">
      <c r="C395" s="160"/>
      <c r="D395" s="160"/>
      <c r="E395" s="160"/>
      <c r="F395" s="160"/>
    </row>
    <row r="396" spans="3:6" ht="15" customHeight="1" x14ac:dyDescent="0.25">
      <c r="C396" s="160"/>
      <c r="D396" s="160"/>
      <c r="E396" s="160"/>
      <c r="F396" s="160"/>
    </row>
    <row r="397" spans="3:6" ht="15" customHeight="1" x14ac:dyDescent="0.25">
      <c r="C397" s="160"/>
      <c r="D397" s="160"/>
      <c r="E397" s="160"/>
      <c r="F397" s="160"/>
    </row>
    <row r="398" spans="3:6" ht="15" customHeight="1" x14ac:dyDescent="0.25">
      <c r="C398" s="160"/>
      <c r="D398" s="160"/>
      <c r="E398" s="160"/>
      <c r="F398" s="160"/>
    </row>
    <row r="399" spans="3:6" ht="15" customHeight="1" x14ac:dyDescent="0.25">
      <c r="C399" s="160"/>
      <c r="D399" s="160"/>
      <c r="E399" s="160"/>
      <c r="F399" s="160"/>
    </row>
    <row r="400" spans="3:6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160"/>
    </row>
    <row r="885" spans="3:6" ht="15" customHeight="1" x14ac:dyDescent="0.25">
      <c r="C885" s="160"/>
      <c r="D885" s="160"/>
      <c r="E885" s="160"/>
      <c r="F885" s="160"/>
    </row>
    <row r="886" spans="3:6" ht="15" customHeight="1" x14ac:dyDescent="0.25">
      <c r="C886" s="160"/>
      <c r="D886" s="160"/>
      <c r="E886" s="160"/>
      <c r="F886" s="160"/>
    </row>
    <row r="887" spans="3:6" ht="15" customHeight="1" x14ac:dyDescent="0.25">
      <c r="C887" s="160"/>
      <c r="D887" s="160"/>
      <c r="E887" s="160"/>
      <c r="F887" s="160"/>
    </row>
    <row r="888" spans="3:6" ht="15" customHeight="1" x14ac:dyDescent="0.25">
      <c r="C888" s="160"/>
      <c r="D888" s="160"/>
      <c r="E888" s="160"/>
      <c r="F888" s="160"/>
    </row>
    <row r="889" spans="3:6" ht="15" customHeight="1" x14ac:dyDescent="0.25">
      <c r="C889" s="160"/>
      <c r="D889" s="160"/>
      <c r="E889" s="160"/>
      <c r="F889" s="160"/>
    </row>
    <row r="890" spans="3:6" ht="15" customHeight="1" x14ac:dyDescent="0.25">
      <c r="C890" s="160"/>
      <c r="D890" s="160"/>
      <c r="E890" s="160"/>
      <c r="F890" s="160"/>
    </row>
    <row r="891" spans="3:6" ht="15" customHeight="1" x14ac:dyDescent="0.25">
      <c r="C891" s="160"/>
      <c r="D891" s="160"/>
      <c r="E891" s="160"/>
      <c r="F891" s="160"/>
    </row>
    <row r="892" spans="3:6" ht="15" customHeight="1" x14ac:dyDescent="0.25">
      <c r="C892" s="160"/>
      <c r="D892" s="160"/>
      <c r="E892" s="160"/>
      <c r="F892" s="160"/>
    </row>
    <row r="893" spans="3:6" ht="15" customHeight="1" x14ac:dyDescent="0.25">
      <c r="C893" s="160"/>
      <c r="D893" s="160"/>
      <c r="E893" s="160"/>
      <c r="F893" s="160"/>
    </row>
    <row r="894" spans="3:6" ht="15" customHeight="1" x14ac:dyDescent="0.25">
      <c r="C894" s="160"/>
      <c r="D894" s="160"/>
      <c r="E894" s="160"/>
      <c r="F894" s="160"/>
    </row>
    <row r="895" spans="3:6" ht="15" customHeight="1" x14ac:dyDescent="0.25">
      <c r="C895" s="160"/>
      <c r="D895" s="160"/>
      <c r="E895" s="160"/>
      <c r="F895" s="160"/>
    </row>
    <row r="896" spans="3:6" ht="15" customHeight="1" x14ac:dyDescent="0.25">
      <c r="C896" s="160"/>
      <c r="D896" s="160"/>
      <c r="E896" s="160"/>
      <c r="F896" s="160"/>
    </row>
    <row r="897" spans="3:6" ht="15" customHeight="1" x14ac:dyDescent="0.25">
      <c r="C897" s="160"/>
      <c r="D897" s="160"/>
      <c r="E897" s="160"/>
      <c r="F897" s="160"/>
    </row>
    <row r="898" spans="3:6" ht="15" customHeight="1" x14ac:dyDescent="0.25">
      <c r="C898" s="160"/>
      <c r="D898" s="160"/>
      <c r="E898" s="160"/>
      <c r="F898" s="160"/>
    </row>
    <row r="899" spans="3:6" ht="15" customHeight="1" x14ac:dyDescent="0.25">
      <c r="C899" s="160"/>
      <c r="D899" s="160"/>
      <c r="E899" s="160"/>
      <c r="F899" s="160"/>
    </row>
    <row r="900" spans="3:6" ht="15" customHeight="1" x14ac:dyDescent="0.25">
      <c r="C900" s="160"/>
      <c r="D900" s="160"/>
      <c r="E900" s="160"/>
      <c r="F900" s="160"/>
    </row>
    <row r="901" spans="3:6" ht="15" customHeight="1" x14ac:dyDescent="0.25">
      <c r="C901" s="160"/>
      <c r="D901" s="160"/>
      <c r="E901" s="160"/>
      <c r="F901" s="160"/>
    </row>
    <row r="902" spans="3:6" ht="15" customHeight="1" x14ac:dyDescent="0.25">
      <c r="C902" s="160"/>
      <c r="D902" s="160"/>
      <c r="E902" s="160"/>
      <c r="F902" s="160"/>
    </row>
    <row r="903" spans="3:6" ht="15" customHeight="1" x14ac:dyDescent="0.25">
      <c r="C903" s="160"/>
      <c r="D903" s="160"/>
      <c r="E903" s="160"/>
      <c r="F903" s="160"/>
    </row>
    <row r="904" spans="3:6" ht="15" customHeight="1" x14ac:dyDescent="0.25">
      <c r="C904" s="160"/>
      <c r="D904" s="160"/>
      <c r="E904" s="160"/>
      <c r="F904" s="160"/>
    </row>
    <row r="905" spans="3:6" ht="15" customHeight="1" x14ac:dyDescent="0.25">
      <c r="C905" s="160"/>
      <c r="D905" s="160"/>
      <c r="E905" s="160"/>
      <c r="F905" s="160"/>
    </row>
    <row r="906" spans="3:6" ht="15" customHeight="1" x14ac:dyDescent="0.25">
      <c r="C906" s="160"/>
      <c r="D906" s="160"/>
      <c r="E906" s="160"/>
      <c r="F906" s="160"/>
    </row>
    <row r="907" spans="3:6" ht="15" customHeight="1" x14ac:dyDescent="0.25">
      <c r="C907" s="160"/>
      <c r="D907" s="160"/>
      <c r="E907" s="160"/>
      <c r="F907" s="160"/>
    </row>
    <row r="908" spans="3:6" ht="15" customHeight="1" x14ac:dyDescent="0.25">
      <c r="C908" s="160"/>
      <c r="D908" s="160"/>
      <c r="E908" s="160"/>
      <c r="F908" s="160"/>
    </row>
    <row r="909" spans="3:6" ht="15" customHeight="1" x14ac:dyDescent="0.25">
      <c r="C909" s="160"/>
      <c r="D909" s="160"/>
      <c r="E909" s="160"/>
      <c r="F909" s="160"/>
    </row>
    <row r="910" spans="3:6" ht="15" customHeight="1" x14ac:dyDescent="0.25">
      <c r="C910" s="160"/>
      <c r="D910" s="160"/>
      <c r="E910" s="160"/>
      <c r="F910" s="160"/>
    </row>
    <row r="911" spans="3:6" ht="15" customHeight="1" x14ac:dyDescent="0.25">
      <c r="C911" s="160"/>
      <c r="D911" s="160"/>
      <c r="E911" s="160"/>
      <c r="F911" s="160"/>
    </row>
    <row r="912" spans="3:6" ht="15" customHeight="1" x14ac:dyDescent="0.25">
      <c r="C912" s="160"/>
      <c r="D912" s="160"/>
      <c r="E912" s="160"/>
      <c r="F912" s="160"/>
    </row>
    <row r="913" spans="3:6" ht="15" customHeight="1" x14ac:dyDescent="0.25">
      <c r="C913" s="160"/>
      <c r="D913" s="160"/>
      <c r="E913" s="160"/>
      <c r="F913" s="160"/>
    </row>
    <row r="914" spans="3:6" ht="15" customHeight="1" x14ac:dyDescent="0.25">
      <c r="C914" s="160"/>
      <c r="D914" s="160"/>
      <c r="E914" s="160"/>
      <c r="F914" s="160"/>
    </row>
    <row r="915" spans="3:6" ht="15" customHeight="1" x14ac:dyDescent="0.25">
      <c r="C915" s="160"/>
      <c r="D915" s="160"/>
      <c r="E915" s="160"/>
      <c r="F915" s="160"/>
    </row>
    <row r="916" spans="3:6" ht="15" customHeight="1" x14ac:dyDescent="0.25">
      <c r="C916" s="160"/>
      <c r="D916" s="160"/>
      <c r="E916" s="160"/>
      <c r="F916" s="160"/>
    </row>
    <row r="917" spans="3:6" ht="15" customHeight="1" x14ac:dyDescent="0.25">
      <c r="C917" s="160"/>
      <c r="D917" s="160"/>
      <c r="E917" s="160"/>
      <c r="F917" s="160"/>
    </row>
    <row r="918" spans="3:6" ht="15" customHeight="1" x14ac:dyDescent="0.25">
      <c r="C918" s="160"/>
      <c r="D918" s="160"/>
      <c r="E918" s="160"/>
      <c r="F918" s="160"/>
    </row>
    <row r="919" spans="3:6" ht="15" customHeight="1" x14ac:dyDescent="0.25">
      <c r="C919" s="160"/>
      <c r="D919" s="160"/>
      <c r="E919" s="160"/>
      <c r="F919" s="160"/>
    </row>
    <row r="920" spans="3:6" ht="15" customHeight="1" x14ac:dyDescent="0.25">
      <c r="C920" s="160"/>
      <c r="D920" s="160"/>
      <c r="E920" s="160"/>
      <c r="F920" s="160"/>
    </row>
    <row r="921" spans="3:6" ht="15" customHeight="1" x14ac:dyDescent="0.25">
      <c r="C921" s="160"/>
      <c r="D921" s="160"/>
      <c r="E921" s="160"/>
      <c r="F921" s="160"/>
    </row>
    <row r="922" spans="3:6" ht="15" customHeight="1" x14ac:dyDescent="0.25">
      <c r="C922" s="160"/>
      <c r="D922" s="160"/>
      <c r="E922" s="160"/>
      <c r="F922" s="160"/>
    </row>
    <row r="923" spans="3:6" ht="15" customHeight="1" x14ac:dyDescent="0.25">
      <c r="C923" s="160"/>
      <c r="D923" s="160"/>
      <c r="E923" s="160"/>
      <c r="F923" s="160"/>
    </row>
    <row r="924" spans="3:6" ht="15" customHeight="1" x14ac:dyDescent="0.25">
      <c r="C924" s="160"/>
      <c r="D924" s="160"/>
      <c r="E924" s="160"/>
      <c r="F924" s="160"/>
    </row>
    <row r="925" spans="3:6" ht="15" customHeight="1" x14ac:dyDescent="0.25">
      <c r="C925" s="160"/>
      <c r="D925" s="160"/>
      <c r="E925" s="160"/>
      <c r="F925" s="160"/>
    </row>
    <row r="926" spans="3:6" ht="15" customHeight="1" x14ac:dyDescent="0.25">
      <c r="C926" s="160"/>
      <c r="D926" s="160"/>
      <c r="E926" s="160"/>
      <c r="F926" s="160"/>
    </row>
    <row r="927" spans="3:6" ht="15" customHeight="1" x14ac:dyDescent="0.25">
      <c r="C927" s="160"/>
      <c r="D927" s="160"/>
      <c r="E927" s="160"/>
      <c r="F927" s="160"/>
    </row>
    <row r="928" spans="3:6" ht="15" customHeight="1" x14ac:dyDescent="0.25">
      <c r="C928" s="160"/>
      <c r="D928" s="160"/>
      <c r="E928" s="160"/>
      <c r="F928" s="160"/>
    </row>
    <row r="929" spans="3:6" ht="15" customHeight="1" x14ac:dyDescent="0.25">
      <c r="C929" s="160"/>
      <c r="D929" s="160"/>
      <c r="E929" s="160"/>
      <c r="F929" s="160"/>
    </row>
    <row r="930" spans="3:6" ht="15" customHeight="1" x14ac:dyDescent="0.25">
      <c r="C930" s="160"/>
      <c r="D930" s="160"/>
      <c r="E930" s="160"/>
      <c r="F930" s="160"/>
    </row>
    <row r="931" spans="3:6" ht="15" customHeight="1" x14ac:dyDescent="0.25">
      <c r="C931" s="160"/>
      <c r="D931" s="160"/>
      <c r="E931" s="160"/>
      <c r="F931" s="160"/>
    </row>
    <row r="932" spans="3:6" ht="15" customHeight="1" x14ac:dyDescent="0.25">
      <c r="C932" s="160"/>
      <c r="D932" s="160"/>
      <c r="E932" s="160"/>
      <c r="F932" s="160"/>
    </row>
    <row r="933" spans="3:6" ht="15" customHeight="1" x14ac:dyDescent="0.25">
      <c r="C933" s="160"/>
      <c r="D933" s="160"/>
      <c r="E933" s="160"/>
      <c r="F933" s="160"/>
    </row>
    <row r="934" spans="3:6" ht="15" customHeight="1" x14ac:dyDescent="0.25">
      <c r="C934" s="160"/>
      <c r="D934" s="160"/>
      <c r="E934" s="160"/>
      <c r="F934" s="160"/>
    </row>
    <row r="935" spans="3:6" ht="15" customHeight="1" x14ac:dyDescent="0.25">
      <c r="C935" s="160"/>
      <c r="D935" s="160"/>
      <c r="E935" s="160"/>
      <c r="F935" s="160"/>
    </row>
    <row r="936" spans="3:6" ht="15" customHeight="1" x14ac:dyDescent="0.25">
      <c r="C936" s="160"/>
      <c r="D936" s="160"/>
      <c r="E936" s="160"/>
      <c r="F936" s="160"/>
    </row>
    <row r="937" spans="3:6" ht="15" customHeight="1" x14ac:dyDescent="0.25">
      <c r="C937" s="160"/>
      <c r="D937" s="160"/>
      <c r="E937" s="160"/>
      <c r="F937" s="160"/>
    </row>
    <row r="938" spans="3:6" ht="15" customHeight="1" x14ac:dyDescent="0.25">
      <c r="C938" s="160"/>
      <c r="D938" s="160"/>
      <c r="E938" s="160"/>
      <c r="F938" s="160"/>
    </row>
    <row r="939" spans="3:6" ht="15" customHeight="1" x14ac:dyDescent="0.25">
      <c r="C939" s="160"/>
      <c r="D939" s="160"/>
      <c r="E939" s="160"/>
      <c r="F939" s="160"/>
    </row>
    <row r="940" spans="3:6" ht="15" customHeight="1" x14ac:dyDescent="0.25">
      <c r="C940" s="160"/>
      <c r="D940" s="160"/>
      <c r="E940" s="160"/>
      <c r="F940" s="160"/>
    </row>
    <row r="941" spans="3:6" ht="15" customHeight="1" x14ac:dyDescent="0.25">
      <c r="C941" s="160"/>
      <c r="D941" s="160"/>
      <c r="E941" s="160"/>
      <c r="F941" s="160"/>
    </row>
    <row r="942" spans="3:6" ht="15" customHeight="1" x14ac:dyDescent="0.25">
      <c r="C942" s="160"/>
      <c r="D942" s="160"/>
      <c r="E942" s="160"/>
      <c r="F942" s="160"/>
    </row>
    <row r="943" spans="3:6" ht="15" customHeight="1" x14ac:dyDescent="0.25">
      <c r="C943" s="160"/>
      <c r="D943" s="160"/>
      <c r="E943" s="160"/>
      <c r="F943" s="160"/>
    </row>
    <row r="944" spans="3:6" ht="15" customHeight="1" x14ac:dyDescent="0.25">
      <c r="C944" s="160"/>
      <c r="D944" s="160"/>
      <c r="E944" s="160"/>
      <c r="F944" s="160"/>
    </row>
    <row r="945" spans="3:6" ht="15" customHeight="1" x14ac:dyDescent="0.25">
      <c r="C945" s="160"/>
      <c r="D945" s="160"/>
      <c r="E945" s="160"/>
      <c r="F945" s="160"/>
    </row>
    <row r="946" spans="3:6" ht="15" customHeight="1" x14ac:dyDescent="0.25">
      <c r="C946" s="160"/>
      <c r="D946" s="160"/>
      <c r="E946" s="160"/>
      <c r="F946" s="160"/>
    </row>
    <row r="947" spans="3:6" ht="15" customHeight="1" x14ac:dyDescent="0.25">
      <c r="C947" s="160"/>
      <c r="D947" s="160"/>
      <c r="E947" s="160"/>
      <c r="F947" s="160"/>
    </row>
    <row r="948" spans="3:6" ht="15" customHeight="1" x14ac:dyDescent="0.25">
      <c r="C948" s="160"/>
      <c r="D948" s="160"/>
      <c r="E948" s="160"/>
      <c r="F948" s="160"/>
    </row>
    <row r="949" spans="3:6" ht="15" customHeight="1" x14ac:dyDescent="0.25">
      <c r="C949" s="160"/>
      <c r="D949" s="160"/>
      <c r="E949" s="160"/>
      <c r="F949" s="160"/>
    </row>
    <row r="950" spans="3:6" ht="15" customHeight="1" x14ac:dyDescent="0.25">
      <c r="C950" s="160"/>
      <c r="D950" s="160"/>
      <c r="E950" s="160"/>
      <c r="F950" s="160"/>
    </row>
    <row r="951" spans="3:6" ht="15" customHeight="1" x14ac:dyDescent="0.25">
      <c r="C951" s="160"/>
      <c r="D951" s="160"/>
      <c r="E951" s="160"/>
      <c r="F951" s="160"/>
    </row>
    <row r="952" spans="3:6" ht="15" customHeight="1" x14ac:dyDescent="0.25">
      <c r="C952" s="160"/>
      <c r="D952" s="160"/>
      <c r="E952" s="160"/>
      <c r="F952" s="160"/>
    </row>
    <row r="953" spans="3:6" ht="15" customHeight="1" x14ac:dyDescent="0.25">
      <c r="C953" s="160"/>
      <c r="D953" s="160"/>
      <c r="E953" s="160"/>
      <c r="F953" s="160"/>
    </row>
    <row r="954" spans="3:6" ht="15" customHeight="1" x14ac:dyDescent="0.25">
      <c r="C954" s="160"/>
      <c r="D954" s="160"/>
      <c r="E954" s="160"/>
      <c r="F954" s="160"/>
    </row>
    <row r="955" spans="3:6" ht="15" customHeight="1" x14ac:dyDescent="0.25">
      <c r="C955" s="160"/>
      <c r="D955" s="160"/>
      <c r="E955" s="160"/>
      <c r="F955" s="160"/>
    </row>
    <row r="956" spans="3:6" ht="15" customHeight="1" x14ac:dyDescent="0.25">
      <c r="C956" s="160"/>
      <c r="D956" s="160"/>
      <c r="E956" s="160"/>
      <c r="F956" s="160"/>
    </row>
    <row r="957" spans="3:6" ht="15" customHeight="1" x14ac:dyDescent="0.25">
      <c r="C957" s="160"/>
      <c r="D957" s="160"/>
      <c r="E957" s="160"/>
      <c r="F957" s="160"/>
    </row>
    <row r="958" spans="3:6" ht="15" customHeight="1" x14ac:dyDescent="0.25">
      <c r="C958" s="160"/>
      <c r="D958" s="160"/>
      <c r="E958" s="160"/>
      <c r="F958" s="160"/>
    </row>
    <row r="959" spans="3:6" ht="15" customHeight="1" x14ac:dyDescent="0.25">
      <c r="C959" s="160"/>
      <c r="D959" s="160"/>
      <c r="E959" s="160"/>
      <c r="F959" s="160"/>
    </row>
    <row r="960" spans="3:6" ht="15" customHeight="1" x14ac:dyDescent="0.25">
      <c r="C960" s="160"/>
      <c r="D960" s="160"/>
      <c r="E960" s="160"/>
      <c r="F960" s="160"/>
    </row>
    <row r="961" spans="3:6" ht="15" customHeight="1" x14ac:dyDescent="0.25">
      <c r="C961" s="160"/>
      <c r="D961" s="160"/>
      <c r="E961" s="160"/>
      <c r="F961" s="160"/>
    </row>
    <row r="962" spans="3:6" ht="15" customHeight="1" x14ac:dyDescent="0.25">
      <c r="C962" s="160"/>
      <c r="D962" s="160"/>
      <c r="E962" s="160"/>
      <c r="F962" s="160"/>
    </row>
    <row r="963" spans="3:6" ht="15" customHeight="1" x14ac:dyDescent="0.25">
      <c r="C963" s="160"/>
      <c r="D963" s="160"/>
      <c r="E963" s="160"/>
      <c r="F963" s="160"/>
    </row>
    <row r="964" spans="3:6" ht="15" customHeight="1" x14ac:dyDescent="0.25">
      <c r="C964" s="160"/>
      <c r="D964" s="160"/>
      <c r="E964" s="160"/>
      <c r="F964" s="160"/>
    </row>
    <row r="965" spans="3:6" ht="15" customHeight="1" x14ac:dyDescent="0.25">
      <c r="C965" s="160"/>
      <c r="D965" s="160"/>
      <c r="E965" s="160"/>
      <c r="F965" s="160"/>
    </row>
    <row r="966" spans="3:6" ht="15" customHeight="1" x14ac:dyDescent="0.25">
      <c r="C966" s="160"/>
      <c r="D966" s="160"/>
      <c r="E966" s="160"/>
      <c r="F966" s="160"/>
    </row>
    <row r="967" spans="3:6" ht="15" customHeight="1" x14ac:dyDescent="0.25">
      <c r="C967" s="160"/>
      <c r="D967" s="160"/>
      <c r="E967" s="160"/>
      <c r="F967" s="160"/>
    </row>
    <row r="968" spans="3:6" ht="15" customHeight="1" x14ac:dyDescent="0.25">
      <c r="C968" s="160"/>
      <c r="D968" s="160"/>
      <c r="E968" s="160"/>
      <c r="F968" s="160"/>
    </row>
    <row r="969" spans="3:6" ht="15" customHeight="1" x14ac:dyDescent="0.25">
      <c r="C969" s="160"/>
      <c r="D969" s="160"/>
      <c r="E969" s="160"/>
      <c r="F969" s="160"/>
    </row>
    <row r="970" spans="3:6" ht="15" customHeight="1" x14ac:dyDescent="0.25">
      <c r="C970" s="160"/>
      <c r="D970" s="160"/>
      <c r="E970" s="160"/>
      <c r="F970" s="160"/>
    </row>
    <row r="971" spans="3:6" ht="15" customHeight="1" x14ac:dyDescent="0.25">
      <c r="C971" s="160"/>
      <c r="D971" s="160"/>
      <c r="E971" s="160"/>
      <c r="F971" s="160"/>
    </row>
    <row r="972" spans="3:6" ht="15" customHeight="1" x14ac:dyDescent="0.25">
      <c r="C972" s="160"/>
      <c r="D972" s="160"/>
      <c r="E972" s="160"/>
      <c r="F972" s="160"/>
    </row>
    <row r="973" spans="3:6" ht="15" customHeight="1" x14ac:dyDescent="0.25">
      <c r="C973" s="160"/>
      <c r="D973" s="160"/>
      <c r="E973" s="160"/>
      <c r="F973" s="160"/>
    </row>
    <row r="974" spans="3:6" ht="15" customHeight="1" x14ac:dyDescent="0.25">
      <c r="C974" s="160"/>
      <c r="D974" s="160"/>
      <c r="E974" s="160"/>
      <c r="F974" s="160"/>
    </row>
    <row r="975" spans="3:6" ht="15" customHeight="1" x14ac:dyDescent="0.25">
      <c r="C975" s="160"/>
      <c r="D975" s="160"/>
      <c r="E975" s="160"/>
      <c r="F975" s="160"/>
    </row>
    <row r="976" spans="3:6" ht="15" customHeight="1" x14ac:dyDescent="0.25">
      <c r="C976" s="160"/>
      <c r="D976" s="160"/>
      <c r="E976" s="160"/>
      <c r="F976" s="160"/>
    </row>
    <row r="977" spans="3:6" ht="15" customHeight="1" x14ac:dyDescent="0.25">
      <c r="C977" s="160"/>
      <c r="D977" s="160"/>
      <c r="E977" s="160"/>
      <c r="F977" s="160"/>
    </row>
    <row r="978" spans="3:6" ht="15" customHeight="1" x14ac:dyDescent="0.25">
      <c r="C978" s="160"/>
      <c r="D978" s="160"/>
      <c r="E978" s="160"/>
      <c r="F978" s="160"/>
    </row>
    <row r="979" spans="3:6" ht="15" customHeight="1" x14ac:dyDescent="0.25">
      <c r="C979" s="160"/>
      <c r="D979" s="160"/>
      <c r="E979" s="160"/>
      <c r="F979" s="160"/>
    </row>
    <row r="980" spans="3:6" ht="15" customHeight="1" x14ac:dyDescent="0.25">
      <c r="C980" s="160"/>
      <c r="D980" s="160"/>
      <c r="E980" s="160"/>
      <c r="F980" s="160"/>
    </row>
    <row r="981" spans="3:6" ht="15" customHeight="1" x14ac:dyDescent="0.25">
      <c r="C981" s="160"/>
      <c r="D981" s="160"/>
      <c r="E981" s="160"/>
      <c r="F981" s="160"/>
    </row>
    <row r="982" spans="3:6" ht="15" customHeight="1" x14ac:dyDescent="0.25">
      <c r="C982" s="160"/>
      <c r="D982" s="160"/>
      <c r="E982" s="160"/>
      <c r="F982" s="160"/>
    </row>
    <row r="983" spans="3:6" ht="15" customHeight="1" x14ac:dyDescent="0.25">
      <c r="C983" s="160"/>
      <c r="D983" s="160"/>
      <c r="E983" s="160"/>
      <c r="F983" s="160"/>
    </row>
    <row r="984" spans="3:6" ht="15" customHeight="1" x14ac:dyDescent="0.25">
      <c r="C984" s="160"/>
      <c r="D984" s="160"/>
      <c r="E984" s="160"/>
      <c r="F984" s="160"/>
    </row>
    <row r="985" spans="3:6" ht="15" customHeight="1" x14ac:dyDescent="0.25">
      <c r="C985" s="160"/>
      <c r="D985" s="160"/>
      <c r="E985" s="160"/>
      <c r="F985" s="160"/>
    </row>
    <row r="986" spans="3:6" ht="15" customHeight="1" x14ac:dyDescent="0.25">
      <c r="C986" s="160"/>
      <c r="D986" s="160"/>
      <c r="E986" s="160"/>
      <c r="F986" s="160"/>
    </row>
    <row r="987" spans="3:6" ht="15" customHeight="1" x14ac:dyDescent="0.25">
      <c r="C987" s="160"/>
      <c r="D987" s="160"/>
      <c r="E987" s="160"/>
      <c r="F987" s="160"/>
    </row>
    <row r="988" spans="3:6" ht="15" customHeight="1" x14ac:dyDescent="0.25">
      <c r="C988" s="160"/>
      <c r="D988" s="160"/>
      <c r="E988" s="160"/>
      <c r="F988" s="160"/>
    </row>
    <row r="989" spans="3:6" ht="15" customHeight="1" x14ac:dyDescent="0.25">
      <c r="C989" s="160"/>
      <c r="D989" s="160"/>
      <c r="E989" s="160"/>
      <c r="F989" s="160"/>
    </row>
    <row r="990" spans="3:6" ht="15" customHeight="1" x14ac:dyDescent="0.25">
      <c r="C990" s="160"/>
      <c r="D990" s="160"/>
      <c r="E990" s="160"/>
      <c r="F990" s="160"/>
    </row>
    <row r="991" spans="3:6" ht="15" customHeight="1" x14ac:dyDescent="0.25">
      <c r="C991" s="160"/>
      <c r="D991" s="160"/>
      <c r="E991" s="160"/>
      <c r="F991" s="160"/>
    </row>
    <row r="992" spans="3:6" ht="15" customHeight="1" x14ac:dyDescent="0.25">
      <c r="C992" s="160"/>
      <c r="D992" s="160"/>
      <c r="E992" s="160"/>
      <c r="F992" s="160"/>
    </row>
    <row r="993" spans="3:6" ht="15" customHeight="1" x14ac:dyDescent="0.25">
      <c r="C993" s="160"/>
      <c r="D993" s="160"/>
      <c r="E993" s="160"/>
      <c r="F993" s="160"/>
    </row>
    <row r="994" spans="3:6" ht="15" customHeight="1" x14ac:dyDescent="0.25">
      <c r="C994" s="160"/>
      <c r="D994" s="160"/>
      <c r="E994" s="160"/>
      <c r="F994" s="160"/>
    </row>
    <row r="995" spans="3:6" ht="15" customHeight="1" x14ac:dyDescent="0.25">
      <c r="C995" s="160"/>
      <c r="D995" s="160"/>
      <c r="E995" s="160"/>
      <c r="F995" s="160"/>
    </row>
    <row r="996" spans="3:6" ht="15" customHeight="1" x14ac:dyDescent="0.25">
      <c r="C996" s="160"/>
      <c r="D996" s="160"/>
      <c r="E996" s="160"/>
      <c r="F996" s="160"/>
    </row>
    <row r="997" spans="3:6" ht="15" customHeight="1" x14ac:dyDescent="0.25">
      <c r="C997" s="160"/>
      <c r="D997" s="160"/>
      <c r="E997" s="160"/>
      <c r="F997" s="160"/>
    </row>
    <row r="998" spans="3:6" ht="15" customHeight="1" x14ac:dyDescent="0.25">
      <c r="C998" s="160"/>
      <c r="D998" s="160"/>
      <c r="E998" s="160"/>
      <c r="F998" s="160"/>
    </row>
    <row r="999" spans="3:6" ht="15" customHeight="1" x14ac:dyDescent="0.25">
      <c r="C999" s="160"/>
      <c r="D999" s="160"/>
      <c r="E999" s="160"/>
      <c r="F999" s="160"/>
    </row>
    <row r="1000" spans="3:6" ht="15" customHeight="1" x14ac:dyDescent="0.25">
      <c r="C1000" s="160"/>
      <c r="D1000" s="160"/>
      <c r="E1000" s="160"/>
      <c r="F1000" s="160"/>
    </row>
    <row r="1001" spans="3:6" ht="15" customHeight="1" x14ac:dyDescent="0.25">
      <c r="F1001" s="77"/>
    </row>
    <row r="1002" spans="3:6" ht="15" customHeight="1" x14ac:dyDescent="0.25">
      <c r="F1002" s="77"/>
    </row>
    <row r="1003" spans="3:6" ht="15" customHeight="1" x14ac:dyDescent="0.25">
      <c r="F1003" s="77"/>
    </row>
    <row r="1004" spans="3:6" ht="15" customHeight="1" x14ac:dyDescent="0.25">
      <c r="F1004" s="77"/>
    </row>
    <row r="1005" spans="3:6" ht="15" customHeight="1" x14ac:dyDescent="0.25">
      <c r="F1005" s="77"/>
    </row>
  </sheetData>
  <sheetProtection algorithmName="SHA-512" hashValue="4wzI6dADXAPwL1+EIFou+YgPQRMbXq4NSCWFdqATJ4zq/7boc8esXKSNZ7LvZ0SuuohlZy9CF7wWXT2mjce9tQ==" saltValue="YSWDUEWOTG2l1Sgtznf4Tg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T1005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22.28515625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8" width="15.7109375" customWidth="1"/>
    <col min="9" max="9" width="109.42578125" bestFit="1" customWidth="1"/>
    <col min="10" max="20" width="0" style="10" hidden="1" customWidth="1"/>
    <col min="21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344" t="s">
        <v>12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C4" s="160"/>
      <c r="D4" s="160"/>
      <c r="E4" s="160"/>
      <c r="F4" s="160"/>
    </row>
    <row r="5" spans="1:15" ht="15" customHeight="1" x14ac:dyDescent="0.25">
      <c r="A5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41" t="s">
        <v>758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64"/>
      <c r="D6" s="164"/>
      <c r="E6" s="164"/>
      <c r="F6" s="164"/>
      <c r="G6" s="47"/>
      <c r="H6" s="47"/>
      <c r="I6" s="47"/>
    </row>
    <row r="7" spans="1:15" ht="15" customHeight="1" x14ac:dyDescent="0.25">
      <c r="A7" s="159" t="s">
        <v>24</v>
      </c>
      <c r="B7" s="167" t="s">
        <v>20</v>
      </c>
      <c r="C7" s="168"/>
      <c r="D7" s="165"/>
      <c r="E7" s="165"/>
      <c r="F7" s="165"/>
      <c r="G7" s="94">
        <f t="shared" ref="G7:G50" si="0">IF(ISERROR(C7- D7)=TRUE,"",C7 - D7)</f>
        <v>0</v>
      </c>
      <c r="H7" s="91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6"/>
      <c r="J7" s="154"/>
      <c r="K7" s="154"/>
      <c r="L7" s="154"/>
      <c r="M7" s="154"/>
      <c r="N7" s="154"/>
      <c r="O7" s="154"/>
    </row>
    <row r="8" spans="1:15" ht="15" customHeight="1" x14ac:dyDescent="0.25">
      <c r="A8" s="159" t="s">
        <v>24</v>
      </c>
      <c r="B8" s="163" t="s">
        <v>51</v>
      </c>
      <c r="C8" s="169">
        <f>+'2020'!G345/1000</f>
        <v>77472.586890000006</v>
      </c>
      <c r="D8" s="166">
        <f>+'2019'!E460/1000</f>
        <v>48186.756869999997</v>
      </c>
      <c r="E8" s="166">
        <f>+'Ark1'!E132/1000</f>
        <v>54387.05962</v>
      </c>
      <c r="F8" s="166">
        <f>+'leasing, indtægter,tolke'!I34/1000</f>
        <v>36659.103350000005</v>
      </c>
      <c r="G8" s="96">
        <f t="shared" si="0"/>
        <v>29285.830020000009</v>
      </c>
      <c r="H8" s="92" t="str">
        <f t="shared" si="1"/>
        <v>60,8%▲</v>
      </c>
      <c r="I8" s="93"/>
      <c r="J8" s="154"/>
      <c r="K8" s="154"/>
      <c r="L8" s="154"/>
      <c r="M8" s="154"/>
      <c r="N8" s="154"/>
      <c r="O8" s="154"/>
    </row>
    <row r="9" spans="1:15" ht="15" customHeight="1" x14ac:dyDescent="0.25">
      <c r="A9" s="159" t="s">
        <v>24</v>
      </c>
      <c r="B9" s="167" t="s">
        <v>21</v>
      </c>
      <c r="C9" s="168">
        <f>+'2020'!G422/1000</f>
        <v>4911.9561599999997</v>
      </c>
      <c r="D9" s="165">
        <f>+'2019'!J423/1000</f>
        <v>5206.1301199999998</v>
      </c>
      <c r="E9" s="165">
        <v>6034.2169000000004</v>
      </c>
      <c r="F9" s="165">
        <v>3442.6817799999999</v>
      </c>
      <c r="G9" s="94">
        <f t="shared" si="0"/>
        <v>-294.17396000000008</v>
      </c>
      <c r="H9" s="91" t="str">
        <f t="shared" si="1"/>
        <v>-5,7%</v>
      </c>
      <c r="I9" s="106"/>
      <c r="J9" s="154"/>
      <c r="K9" s="154"/>
      <c r="L9" s="154"/>
      <c r="M9" s="154"/>
      <c r="N9" s="154"/>
      <c r="O9" s="154"/>
    </row>
    <row r="10" spans="1:15" s="40" customFormat="1" ht="15" customHeight="1" x14ac:dyDescent="0.25">
      <c r="A10" s="104" t="s">
        <v>24</v>
      </c>
      <c r="B10" s="86" t="s">
        <v>8</v>
      </c>
      <c r="C10" s="64">
        <f>SUMIFS((C7:C9),(A7:A9),A10)</f>
        <v>82384.543050000007</v>
      </c>
      <c r="D10" s="64">
        <f>SUMIFS((D7:D9),(A7:A9),A10)</f>
        <v>53392.886989999999</v>
      </c>
      <c r="E10" s="64">
        <f>SUMIFS((E7:E9),(A7:A9),A10)</f>
        <v>60421.276519999999</v>
      </c>
      <c r="F10" s="64">
        <f>SUMIFS((F7:F9),(A7:A9),A10)</f>
        <v>40101.785130000004</v>
      </c>
      <c r="G10" s="101">
        <f t="shared" si="0"/>
        <v>28991.656060000008</v>
      </c>
      <c r="H10" s="87" t="str">
        <f t="shared" si="1"/>
        <v>54,3%▲</v>
      </c>
      <c r="I10" s="108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6"/>
      <c r="C11" s="165"/>
      <c r="D11" s="165"/>
      <c r="E11" s="165"/>
      <c r="F11" s="165"/>
      <c r="G11" s="94">
        <f t="shared" si="0"/>
        <v>0</v>
      </c>
      <c r="H11" s="91" t="str">
        <f t="shared" si="1"/>
        <v/>
      </c>
      <c r="I11" s="56"/>
    </row>
    <row r="12" spans="1:15" ht="15" customHeight="1" x14ac:dyDescent="0.25">
      <c r="A12" s="159" t="s">
        <v>47</v>
      </c>
      <c r="B12" s="163" t="s">
        <v>20</v>
      </c>
      <c r="C12" s="169"/>
      <c r="D12" s="166"/>
      <c r="E12" s="166"/>
      <c r="F12" s="166"/>
      <c r="G12" s="96">
        <f t="shared" si="0"/>
        <v>0</v>
      </c>
      <c r="H12" s="92" t="str">
        <f t="shared" si="1"/>
        <v/>
      </c>
      <c r="I12" s="93"/>
      <c r="J12" s="154"/>
      <c r="K12" s="154"/>
      <c r="L12" s="154"/>
      <c r="M12" s="154"/>
      <c r="N12" s="154"/>
      <c r="O12" s="154"/>
    </row>
    <row r="13" spans="1:15" ht="15" customHeight="1" x14ac:dyDescent="0.25">
      <c r="A13" s="159" t="s">
        <v>47</v>
      </c>
      <c r="B13" s="167" t="s">
        <v>51</v>
      </c>
      <c r="C13" s="168">
        <f>+'2020'!G318/1000+'2020'!H371/1000</f>
        <v>89021.874100000015</v>
      </c>
      <c r="D13" s="165">
        <f>+'2019'!E440/1000</f>
        <v>18909.775719999998</v>
      </c>
      <c r="E13" s="165">
        <f>+'Ark1'!E114/1000</f>
        <v>19921.222570000002</v>
      </c>
      <c r="F13" s="165">
        <f>+'leasing, indtægter,tolke'!I8/1000</f>
        <v>16111.29358</v>
      </c>
      <c r="G13" s="94">
        <f t="shared" si="0"/>
        <v>70112.09838000001</v>
      </c>
      <c r="H13" s="91" t="str">
        <f t="shared" si="1"/>
        <v>370,8%▲</v>
      </c>
      <c r="I13" s="106"/>
      <c r="J13" s="154"/>
      <c r="K13" s="154"/>
      <c r="L13" s="154"/>
      <c r="M13" s="154"/>
      <c r="N13" s="154"/>
      <c r="O13" s="154"/>
    </row>
    <row r="14" spans="1:15" ht="15" customHeight="1" x14ac:dyDescent="0.25">
      <c r="A14" s="159" t="s">
        <v>47</v>
      </c>
      <c r="B14" s="163" t="s">
        <v>21</v>
      </c>
      <c r="C14" s="169">
        <f>+'2020'!G403/1000</f>
        <v>1.1275500000000001</v>
      </c>
      <c r="D14" s="166"/>
      <c r="E14" s="166"/>
      <c r="F14" s="166"/>
      <c r="G14" s="96">
        <f t="shared" si="0"/>
        <v>1.1275500000000001</v>
      </c>
      <c r="H14" s="92" t="str">
        <f t="shared" si="1"/>
        <v/>
      </c>
      <c r="I14" s="93"/>
      <c r="J14" s="154"/>
      <c r="K14" s="154"/>
      <c r="L14" s="154"/>
      <c r="M14" s="154"/>
      <c r="N14" s="154"/>
      <c r="O14" s="154"/>
    </row>
    <row r="15" spans="1:15" s="40" customFormat="1" ht="15" customHeight="1" x14ac:dyDescent="0.25">
      <c r="A15" s="104" t="s">
        <v>47</v>
      </c>
      <c r="B15" s="107" t="s">
        <v>8</v>
      </c>
      <c r="C15" s="63">
        <f>SUMIFS((C7:C14),(A7:A14),A15)</f>
        <v>89023.00165000002</v>
      </c>
      <c r="D15" s="63">
        <f>SUMIFS((D7:D14),(A7:A14),A15)</f>
        <v>18909.775719999998</v>
      </c>
      <c r="E15" s="63">
        <f>SUMIFS((E7:E14),(A7:A14),A15)</f>
        <v>19921.222570000002</v>
      </c>
      <c r="F15" s="63">
        <f>SUMIFS((F7:F14),(A7:A14),A15)</f>
        <v>16111.29358</v>
      </c>
      <c r="G15" s="97">
        <f t="shared" si="0"/>
        <v>70113.225930000015</v>
      </c>
      <c r="H15" s="85" t="str">
        <f t="shared" si="1"/>
        <v>370,8%▲</v>
      </c>
      <c r="I15" s="105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7"/>
      <c r="C16" s="166"/>
      <c r="D16" s="166"/>
      <c r="E16" s="166"/>
      <c r="F16" s="166"/>
      <c r="G16" s="96">
        <f t="shared" si="0"/>
        <v>0</v>
      </c>
      <c r="H16" s="92" t="str">
        <f t="shared" si="1"/>
        <v/>
      </c>
      <c r="I16" s="47"/>
    </row>
    <row r="17" spans="1:15" ht="15" customHeight="1" x14ac:dyDescent="0.25">
      <c r="A17" s="159" t="s">
        <v>48</v>
      </c>
      <c r="B17" s="167" t="s">
        <v>20</v>
      </c>
      <c r="C17" s="168"/>
      <c r="D17" s="165"/>
      <c r="E17" s="165"/>
      <c r="F17" s="165"/>
      <c r="G17" s="94">
        <f t="shared" si="0"/>
        <v>0</v>
      </c>
      <c r="H17" s="91" t="str">
        <f t="shared" si="1"/>
        <v/>
      </c>
      <c r="I17" s="106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48</v>
      </c>
      <c r="B18" s="163" t="s">
        <v>51</v>
      </c>
      <c r="C18" s="169">
        <f>+'2020'!G330/1000+'2020'!H385/1000</f>
        <v>51583.81583</v>
      </c>
      <c r="D18" s="166">
        <f>+'2019'!E456/1000</f>
        <v>22361.800749999999</v>
      </c>
      <c r="E18" s="166">
        <f>+'Ark1'!E128/1000</f>
        <v>30648.138609999998</v>
      </c>
      <c r="F18" s="166">
        <f>+'leasing, indtægter,tolke'!I29/1000</f>
        <v>18350.335589999999</v>
      </c>
      <c r="G18" s="96">
        <f t="shared" si="0"/>
        <v>29222.015080000001</v>
      </c>
      <c r="H18" s="92" t="str">
        <f t="shared" si="1"/>
        <v>130,7%▲</v>
      </c>
      <c r="I18" s="93"/>
      <c r="J18" s="154"/>
      <c r="K18" s="154"/>
      <c r="L18" s="154"/>
      <c r="M18" s="154"/>
      <c r="N18" s="154"/>
      <c r="O18" s="154"/>
    </row>
    <row r="19" spans="1:15" ht="15" customHeight="1" x14ac:dyDescent="0.25">
      <c r="A19" s="159" t="s">
        <v>48</v>
      </c>
      <c r="B19" s="167" t="s">
        <v>21</v>
      </c>
      <c r="C19" s="168"/>
      <c r="D19" s="165">
        <f>+'2019'!J416/1000</f>
        <v>109.90651</v>
      </c>
      <c r="E19" s="165"/>
      <c r="F19" s="165"/>
      <c r="G19" s="94">
        <f t="shared" si="0"/>
        <v>-109.90651</v>
      </c>
      <c r="H19" s="91" t="str">
        <f t="shared" si="1"/>
        <v>-100,0%▼</v>
      </c>
      <c r="I19" s="106"/>
      <c r="J19" s="154"/>
      <c r="K19" s="154"/>
      <c r="L19" s="154"/>
      <c r="M19" s="154"/>
      <c r="N19" s="154"/>
      <c r="O19" s="154"/>
    </row>
    <row r="20" spans="1:15" s="40" customFormat="1" ht="15" customHeight="1" x14ac:dyDescent="0.25">
      <c r="A20" s="104" t="s">
        <v>48</v>
      </c>
      <c r="B20" s="86" t="s">
        <v>8</v>
      </c>
      <c r="C20" s="64">
        <f>SUMIFS((C7:C19),(A7:A19),A20)</f>
        <v>51583.81583</v>
      </c>
      <c r="D20" s="64">
        <f>SUMIFS((D7:D19),(A7:A19),A20)</f>
        <v>22471.707259999999</v>
      </c>
      <c r="E20" s="64">
        <f>SUMIFS((E7:E19),(A7:A19),A20)</f>
        <v>30648.138609999998</v>
      </c>
      <c r="F20" s="64">
        <f>SUMIFS((F7:F19),(A7:A19),A20)</f>
        <v>18350.335589999999</v>
      </c>
      <c r="G20" s="101">
        <f t="shared" si="0"/>
        <v>29112.10857</v>
      </c>
      <c r="H20" s="87" t="str">
        <f t="shared" si="1"/>
        <v>129,6%▲</v>
      </c>
      <c r="I20" s="108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6"/>
      <c r="C21" s="165"/>
      <c r="D21" s="165"/>
      <c r="E21" s="165"/>
      <c r="F21" s="165"/>
      <c r="G21" s="94">
        <f t="shared" si="0"/>
        <v>0</v>
      </c>
      <c r="H21" s="91" t="str">
        <f t="shared" si="1"/>
        <v/>
      </c>
      <c r="I21" s="56"/>
    </row>
    <row r="22" spans="1:15" ht="15" customHeight="1" x14ac:dyDescent="0.25">
      <c r="A22" s="159" t="s">
        <v>46</v>
      </c>
      <c r="B22" s="163" t="s">
        <v>20</v>
      </c>
      <c r="C22" s="169"/>
      <c r="D22" s="166"/>
      <c r="E22" s="166"/>
      <c r="F22" s="166"/>
      <c r="G22" s="96">
        <f t="shared" si="0"/>
        <v>0</v>
      </c>
      <c r="H22" s="92" t="str">
        <f t="shared" si="1"/>
        <v/>
      </c>
      <c r="I22" s="93"/>
      <c r="J22" s="154"/>
      <c r="K22" s="154"/>
      <c r="L22" s="154"/>
      <c r="M22" s="154"/>
      <c r="N22" s="154"/>
      <c r="O22" s="154"/>
    </row>
    <row r="23" spans="1:15" ht="15" customHeight="1" x14ac:dyDescent="0.25">
      <c r="A23" s="159" t="s">
        <v>46</v>
      </c>
      <c r="B23" s="167" t="s">
        <v>51</v>
      </c>
      <c r="C23" s="168">
        <f>+'2020'!G324/1000</f>
        <v>92446.015620000006</v>
      </c>
      <c r="D23" s="165">
        <f>+'2019'!E448/1000</f>
        <v>69614.27148000001</v>
      </c>
      <c r="E23" s="165">
        <f>+'Ark1'!E121/1000</f>
        <v>55991.447780000002</v>
      </c>
      <c r="F23" s="165">
        <f>+'leasing, indtægter,tolke'!I18/1000</f>
        <v>20840.26988</v>
      </c>
      <c r="G23" s="94">
        <f t="shared" si="0"/>
        <v>22831.744139999995</v>
      </c>
      <c r="H23" s="91" t="str">
        <f t="shared" si="1"/>
        <v>32,8%▲</v>
      </c>
      <c r="I23" s="106"/>
      <c r="J23" s="154"/>
      <c r="K23" s="154"/>
      <c r="L23" s="154"/>
      <c r="M23" s="154"/>
      <c r="N23" s="154"/>
      <c r="O23" s="154"/>
    </row>
    <row r="24" spans="1:15" ht="15" customHeight="1" x14ac:dyDescent="0.25">
      <c r="A24" s="159" t="s">
        <v>46</v>
      </c>
      <c r="B24" s="163" t="s">
        <v>21</v>
      </c>
      <c r="C24" s="169">
        <f>+'2020'!G409/1000</f>
        <v>10916.504999999999</v>
      </c>
      <c r="D24" s="166">
        <f>+'2019'!J413/1000</f>
        <v>11592.839</v>
      </c>
      <c r="E24" s="166"/>
      <c r="F24" s="166">
        <v>12259.547200000001</v>
      </c>
      <c r="G24" s="96">
        <f t="shared" si="0"/>
        <v>-676.33400000000074</v>
      </c>
      <c r="H24" s="92" t="str">
        <f t="shared" si="1"/>
        <v>-5,8%</v>
      </c>
      <c r="I24" s="93"/>
      <c r="J24" s="154"/>
      <c r="K24" s="154"/>
      <c r="L24" s="154"/>
      <c r="M24" s="154"/>
      <c r="N24" s="154"/>
      <c r="O24" s="154"/>
    </row>
    <row r="25" spans="1:15" s="40" customFormat="1" ht="15" customHeight="1" x14ac:dyDescent="0.25">
      <c r="A25" s="104" t="s">
        <v>46</v>
      </c>
      <c r="B25" s="107" t="s">
        <v>8</v>
      </c>
      <c r="C25" s="63">
        <f>SUMIFS((C7:C24),(A7:A24),A25)</f>
        <v>103362.52062000001</v>
      </c>
      <c r="D25" s="63">
        <f>SUMIFS((D7:D24),(A7:A24),A25)</f>
        <v>81207.110480000003</v>
      </c>
      <c r="E25" s="63">
        <f>SUMIFS((E7:E24),(A7:A24),A25)</f>
        <v>55991.447780000002</v>
      </c>
      <c r="F25" s="63">
        <f>SUMIFS((F7:F24),(A7:A24),A25)</f>
        <v>33099.817080000001</v>
      </c>
      <c r="G25" s="97">
        <f t="shared" si="0"/>
        <v>22155.410140000007</v>
      </c>
      <c r="H25" s="85" t="str">
        <f t="shared" si="1"/>
        <v>27,3%▲</v>
      </c>
      <c r="I25" s="105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47"/>
      <c r="C26" s="166"/>
      <c r="D26" s="166"/>
      <c r="E26" s="166"/>
      <c r="F26" s="166"/>
      <c r="G26" s="96">
        <f t="shared" si="0"/>
        <v>0</v>
      </c>
      <c r="H26" s="92" t="str">
        <f t="shared" si="1"/>
        <v/>
      </c>
      <c r="I26" s="47"/>
    </row>
    <row r="27" spans="1:15" ht="15" customHeight="1" x14ac:dyDescent="0.25">
      <c r="A27" s="159" t="s">
        <v>25</v>
      </c>
      <c r="B27" s="167" t="s">
        <v>20</v>
      </c>
      <c r="C27" s="168"/>
      <c r="D27" s="165"/>
      <c r="E27" s="165"/>
      <c r="F27" s="165"/>
      <c r="G27" s="94">
        <f t="shared" si="0"/>
        <v>0</v>
      </c>
      <c r="H27" s="91" t="str">
        <f t="shared" si="1"/>
        <v/>
      </c>
      <c r="I27" s="106"/>
      <c r="J27" s="154"/>
      <c r="K27" s="154"/>
      <c r="L27" s="154"/>
      <c r="M27" s="154"/>
      <c r="N27" s="154"/>
      <c r="O27" s="154"/>
    </row>
    <row r="28" spans="1:15" ht="15" customHeight="1" x14ac:dyDescent="0.25">
      <c r="A28" s="159" t="s">
        <v>25</v>
      </c>
      <c r="B28" s="163" t="s">
        <v>51</v>
      </c>
      <c r="C28" s="169">
        <f>+'2020'!G327/1000+'2020'!H383/1000</f>
        <v>14912.124640000002</v>
      </c>
      <c r="D28" s="166">
        <f>+'2019'!E452/1000</f>
        <v>22956.84347</v>
      </c>
      <c r="E28" s="166">
        <f>+'Ark1'!E125/1000</f>
        <v>18572.615879999998</v>
      </c>
      <c r="F28" s="166">
        <f>+'leasing, indtægter,tolke'!I24/1000</f>
        <v>16921.19988</v>
      </c>
      <c r="G28" s="96">
        <f t="shared" si="0"/>
        <v>-8044.718829999998</v>
      </c>
      <c r="H28" s="92" t="str">
        <f t="shared" si="1"/>
        <v>-35,0%▼</v>
      </c>
      <c r="I28" s="93"/>
      <c r="J28" s="154"/>
      <c r="K28" s="154"/>
      <c r="L28" s="154"/>
      <c r="M28" s="154"/>
      <c r="N28" s="154"/>
      <c r="O28" s="154"/>
    </row>
    <row r="29" spans="1:15" ht="15" customHeight="1" x14ac:dyDescent="0.25">
      <c r="A29" s="159" t="s">
        <v>25</v>
      </c>
      <c r="B29" s="167" t="s">
        <v>21</v>
      </c>
      <c r="C29" s="168"/>
      <c r="D29" s="165"/>
      <c r="E29" s="165"/>
      <c r="F29" s="165"/>
      <c r="G29" s="94">
        <f t="shared" si="0"/>
        <v>0</v>
      </c>
      <c r="H29" s="91" t="str">
        <f t="shared" si="1"/>
        <v/>
      </c>
      <c r="I29" s="106"/>
      <c r="J29" s="154"/>
      <c r="K29" s="154"/>
      <c r="L29" s="154"/>
      <c r="M29" s="154"/>
      <c r="N29" s="154"/>
      <c r="O29" s="154"/>
    </row>
    <row r="30" spans="1:15" s="40" customFormat="1" ht="15" customHeight="1" x14ac:dyDescent="0.25">
      <c r="A30" s="104" t="s">
        <v>25</v>
      </c>
      <c r="B30" s="86" t="s">
        <v>8</v>
      </c>
      <c r="C30" s="64">
        <f>SUMIFS((C7:C29),(A7:A29),A30)</f>
        <v>14912.124640000002</v>
      </c>
      <c r="D30" s="64">
        <f>SUMIFS((D7:D29),(A7:A29),A30)</f>
        <v>22956.84347</v>
      </c>
      <c r="E30" s="64">
        <f>SUMIFS((E7:E29),(A7:A29),A30)</f>
        <v>18572.615879999998</v>
      </c>
      <c r="F30" s="64">
        <f>SUMIFS((F7:F29),(A7:A29),A30)</f>
        <v>16921.19988</v>
      </c>
      <c r="G30" s="101">
        <f t="shared" si="0"/>
        <v>-8044.718829999998</v>
      </c>
      <c r="H30" s="87" t="str">
        <f t="shared" si="1"/>
        <v>-35,0%▼</v>
      </c>
      <c r="I30" s="108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6"/>
      <c r="C31" s="165"/>
      <c r="D31" s="165"/>
      <c r="E31" s="165"/>
      <c r="F31" s="165"/>
      <c r="G31" s="94">
        <f t="shared" si="0"/>
        <v>0</v>
      </c>
      <c r="H31" s="91" t="str">
        <f t="shared" si="1"/>
        <v/>
      </c>
      <c r="I31" s="56"/>
    </row>
    <row r="32" spans="1:15" ht="15" customHeight="1" x14ac:dyDescent="0.25">
      <c r="A32" s="159" t="s">
        <v>26</v>
      </c>
      <c r="B32" s="163" t="s">
        <v>20</v>
      </c>
      <c r="C32" s="169"/>
      <c r="D32" s="166"/>
      <c r="E32" s="166"/>
      <c r="F32" s="166"/>
      <c r="G32" s="96">
        <f t="shared" si="0"/>
        <v>0</v>
      </c>
      <c r="H32" s="92" t="str">
        <f t="shared" si="1"/>
        <v/>
      </c>
      <c r="I32" s="93"/>
      <c r="J32" s="154"/>
      <c r="K32" s="154"/>
      <c r="L32" s="154"/>
      <c r="M32" s="154"/>
      <c r="N32" s="154"/>
      <c r="O32" s="154"/>
    </row>
    <row r="33" spans="1:15" ht="15" customHeight="1" x14ac:dyDescent="0.25">
      <c r="A33" s="159" t="s">
        <v>26</v>
      </c>
      <c r="B33" s="167" t="s">
        <v>51</v>
      </c>
      <c r="C33" s="168">
        <f>+'2020'!G321/1000</f>
        <v>4133.3489300000001</v>
      </c>
      <c r="D33" s="165">
        <f>+'2019'!E442/1000</f>
        <v>2494.5999900000002</v>
      </c>
      <c r="E33" s="165">
        <f>+'Ark1'!E116/1000</f>
        <v>2363.3226299999997</v>
      </c>
      <c r="F33" s="165">
        <f>+'leasing, indtægter,tolke'!I12/1000</f>
        <v>1584.48901</v>
      </c>
      <c r="G33" s="94">
        <f t="shared" si="0"/>
        <v>1638.7489399999999</v>
      </c>
      <c r="H33" s="91" t="str">
        <f t="shared" si="1"/>
        <v>65,7%▲</v>
      </c>
      <c r="I33" s="106"/>
      <c r="J33" s="154"/>
      <c r="K33" s="154"/>
      <c r="L33" s="154"/>
      <c r="M33" s="154"/>
      <c r="N33" s="154"/>
      <c r="O33" s="154"/>
    </row>
    <row r="34" spans="1:15" ht="15" customHeight="1" x14ac:dyDescent="0.25">
      <c r="A34" s="159" t="s">
        <v>26</v>
      </c>
      <c r="B34" s="163" t="s">
        <v>21</v>
      </c>
      <c r="C34" s="169"/>
      <c r="D34" s="166"/>
      <c r="E34" s="166"/>
      <c r="F34" s="166"/>
      <c r="G34" s="96">
        <f t="shared" si="0"/>
        <v>0</v>
      </c>
      <c r="H34" s="92" t="str">
        <f t="shared" si="1"/>
        <v/>
      </c>
      <c r="I34" s="93"/>
      <c r="J34" s="154"/>
      <c r="K34" s="154"/>
      <c r="L34" s="154"/>
      <c r="M34" s="154"/>
      <c r="N34" s="154"/>
      <c r="O34" s="154"/>
    </row>
    <row r="35" spans="1:15" s="40" customFormat="1" ht="15" customHeight="1" x14ac:dyDescent="0.25">
      <c r="A35" s="104" t="s">
        <v>26</v>
      </c>
      <c r="B35" s="107" t="s">
        <v>8</v>
      </c>
      <c r="C35" s="63">
        <f>SUMIFS((C7:C34),(A7:A34),A35)</f>
        <v>4133.3489300000001</v>
      </c>
      <c r="D35" s="63">
        <f>SUMIFS((D7:D34),(A7:A34),A35)</f>
        <v>2494.5999900000002</v>
      </c>
      <c r="E35" s="63">
        <f>SUMIFS((E7:E34),(A7:A34),A35)</f>
        <v>2363.3226299999997</v>
      </c>
      <c r="F35" s="63">
        <f>SUMIFS((F7:F34),(A7:A34),A35)</f>
        <v>1584.48901</v>
      </c>
      <c r="G35" s="97">
        <f t="shared" si="0"/>
        <v>1638.7489399999999</v>
      </c>
      <c r="H35" s="85" t="str">
        <f t="shared" si="1"/>
        <v>65,7%▲</v>
      </c>
      <c r="I35" s="105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5" t="s">
        <v>53</v>
      </c>
      <c r="B36" s="47"/>
      <c r="C36" s="166"/>
      <c r="D36" s="166"/>
      <c r="E36" s="166"/>
      <c r="F36" s="166"/>
      <c r="G36" s="96">
        <f t="shared" si="0"/>
        <v>0</v>
      </c>
      <c r="H36" s="92" t="str">
        <f t="shared" si="1"/>
        <v/>
      </c>
      <c r="I36" s="47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9" t="s">
        <v>53</v>
      </c>
      <c r="B37" s="167" t="s">
        <v>20</v>
      </c>
      <c r="C37" s="168"/>
      <c r="D37" s="165"/>
      <c r="E37" s="165"/>
      <c r="F37" s="165"/>
      <c r="G37" s="94">
        <f t="shared" si="0"/>
        <v>0</v>
      </c>
      <c r="H37" s="91" t="str">
        <f t="shared" si="1"/>
        <v/>
      </c>
      <c r="I37" s="106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9" t="s">
        <v>53</v>
      </c>
      <c r="B38" s="163" t="s">
        <v>51</v>
      </c>
      <c r="C38" s="169"/>
      <c r="D38" s="166">
        <f>+'2019'!E444/1000</f>
        <v>13.878360000000001</v>
      </c>
      <c r="E38" s="166"/>
      <c r="F38" s="166"/>
      <c r="G38" s="96">
        <f t="shared" si="0"/>
        <v>-13.878360000000001</v>
      </c>
      <c r="H38" s="92" t="str">
        <f t="shared" si="1"/>
        <v>-100,0%▼</v>
      </c>
      <c r="I38" s="93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9" t="s">
        <v>53</v>
      </c>
      <c r="B39" s="167" t="s">
        <v>21</v>
      </c>
      <c r="C39" s="168">
        <f>+'2020'!G406/1000</f>
        <v>2883.1908900000003</v>
      </c>
      <c r="D39" s="165"/>
      <c r="E39" s="165"/>
      <c r="F39" s="165"/>
      <c r="G39" s="94">
        <f t="shared" si="0"/>
        <v>2883.1908900000003</v>
      </c>
      <c r="H39" s="91" t="str">
        <f t="shared" si="1"/>
        <v/>
      </c>
      <c r="I39" s="106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9" t="s">
        <v>53</v>
      </c>
      <c r="B40" s="86" t="s">
        <v>8</v>
      </c>
      <c r="C40" s="64">
        <f>SUMIFS((C7:C39),(A7:A39),A40)</f>
        <v>2883.1908900000003</v>
      </c>
      <c r="D40" s="64">
        <f>SUMIFS((D7:D39),(A7:A39),A40)</f>
        <v>13.878360000000001</v>
      </c>
      <c r="E40" s="64">
        <f>SUMIFS((E7:E39),(A7:A39),A40)</f>
        <v>0</v>
      </c>
      <c r="F40" s="64">
        <f>SUMIFS((F7:F39),(A7:A39),A40)</f>
        <v>0</v>
      </c>
      <c r="G40" s="101">
        <f t="shared" si="0"/>
        <v>2869.3125300000002</v>
      </c>
      <c r="H40" s="87" t="str">
        <f t="shared" si="1"/>
        <v>20674,7%▲</v>
      </c>
      <c r="I40" s="108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6"/>
      <c r="C41" s="165"/>
      <c r="D41" s="165"/>
      <c r="E41" s="165"/>
      <c r="F41" s="165"/>
      <c r="G41" s="94">
        <f t="shared" si="0"/>
        <v>0</v>
      </c>
      <c r="H41" s="91" t="str">
        <f t="shared" si="1"/>
        <v/>
      </c>
      <c r="I41" s="56"/>
    </row>
    <row r="42" spans="1:15" ht="15" customHeight="1" x14ac:dyDescent="0.25">
      <c r="A42" s="159" t="s">
        <v>27</v>
      </c>
      <c r="B42" s="163" t="s">
        <v>20</v>
      </c>
      <c r="C42" s="169"/>
      <c r="D42" s="166"/>
      <c r="E42" s="166"/>
      <c r="F42" s="166"/>
      <c r="G42" s="96">
        <f t="shared" si="0"/>
        <v>0</v>
      </c>
      <c r="H42" s="92" t="str">
        <f t="shared" si="1"/>
        <v/>
      </c>
      <c r="I42" s="93"/>
      <c r="J42" s="154"/>
      <c r="K42" s="154"/>
      <c r="L42" s="154"/>
      <c r="M42" s="154"/>
      <c r="N42" s="154"/>
      <c r="O42" s="154"/>
    </row>
    <row r="43" spans="1:15" ht="15" customHeight="1" x14ac:dyDescent="0.25">
      <c r="A43" s="159" t="s">
        <v>27</v>
      </c>
      <c r="B43" s="167" t="s">
        <v>51</v>
      </c>
      <c r="C43" s="168"/>
      <c r="D43" s="165"/>
      <c r="E43" s="165"/>
      <c r="F43" s="165"/>
      <c r="G43" s="94">
        <f t="shared" si="0"/>
        <v>0</v>
      </c>
      <c r="H43" s="91" t="str">
        <f t="shared" si="1"/>
        <v/>
      </c>
      <c r="I43" s="106"/>
      <c r="J43" s="154"/>
      <c r="K43" s="154"/>
      <c r="L43" s="154"/>
      <c r="M43" s="154"/>
      <c r="N43" s="154"/>
      <c r="O43" s="154"/>
    </row>
    <row r="44" spans="1:15" ht="15" customHeight="1" x14ac:dyDescent="0.25">
      <c r="A44" s="159" t="s">
        <v>27</v>
      </c>
      <c r="B44" s="163" t="s">
        <v>21</v>
      </c>
      <c r="C44" s="169"/>
      <c r="D44" s="166"/>
      <c r="E44" s="166"/>
      <c r="F44" s="166"/>
      <c r="G44" s="96">
        <f t="shared" si="0"/>
        <v>0</v>
      </c>
      <c r="H44" s="92" t="str">
        <f t="shared" si="1"/>
        <v/>
      </c>
      <c r="I44" s="93"/>
      <c r="J44" s="154"/>
      <c r="K44" s="154"/>
      <c r="L44" s="154"/>
      <c r="M44" s="154"/>
      <c r="N44" s="154"/>
      <c r="O44" s="154"/>
    </row>
    <row r="45" spans="1:15" s="40" customFormat="1" ht="15" customHeight="1" x14ac:dyDescent="0.25">
      <c r="A45" s="104" t="s">
        <v>27</v>
      </c>
      <c r="B45" s="107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7">
        <f t="shared" si="0"/>
        <v>0</v>
      </c>
      <c r="H45" s="85" t="str">
        <f t="shared" si="1"/>
        <v/>
      </c>
      <c r="I45" s="105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47"/>
      <c r="C46" s="166"/>
      <c r="D46" s="166"/>
      <c r="E46" s="166"/>
      <c r="F46" s="166"/>
      <c r="G46" s="96">
        <f t="shared" si="0"/>
        <v>0</v>
      </c>
      <c r="H46" s="92" t="str">
        <f t="shared" si="1"/>
        <v/>
      </c>
      <c r="I46" s="47"/>
    </row>
    <row r="47" spans="1:15" ht="15" customHeight="1" x14ac:dyDescent="0.25">
      <c r="A47" s="159" t="s">
        <v>28</v>
      </c>
      <c r="B47" s="167" t="s">
        <v>20</v>
      </c>
      <c r="C47" s="168"/>
      <c r="D47" s="165"/>
      <c r="E47" s="165"/>
      <c r="F47" s="165"/>
      <c r="G47" s="94">
        <f t="shared" si="0"/>
        <v>0</v>
      </c>
      <c r="H47" s="91" t="str">
        <f t="shared" si="1"/>
        <v/>
      </c>
      <c r="I47" s="106"/>
      <c r="J47" s="154"/>
      <c r="K47" s="154"/>
      <c r="L47" s="154"/>
      <c r="M47" s="154"/>
      <c r="N47" s="154"/>
      <c r="O47" s="154"/>
    </row>
    <row r="48" spans="1:15" ht="15" customHeight="1" x14ac:dyDescent="0.25">
      <c r="A48" s="159" t="s">
        <v>28</v>
      </c>
      <c r="B48" s="163" t="s">
        <v>51</v>
      </c>
      <c r="C48" s="169">
        <v>7742.7698455471236</v>
      </c>
      <c r="D48" s="166">
        <v>153455.84135110708</v>
      </c>
      <c r="E48" s="166">
        <v>268247.90761799563</v>
      </c>
      <c r="F48" s="166">
        <v>269562.22648000001</v>
      </c>
      <c r="G48" s="96">
        <f t="shared" si="0"/>
        <v>-145713.07150555996</v>
      </c>
      <c r="H48" s="92" t="str">
        <f t="shared" si="1"/>
        <v>-95,0%▼</v>
      </c>
      <c r="I48" s="93"/>
      <c r="J48" s="154"/>
      <c r="K48" s="154"/>
      <c r="L48" s="154"/>
      <c r="M48" s="154"/>
      <c r="N48" s="154"/>
      <c r="O48" s="154"/>
    </row>
    <row r="49" spans="1:15" ht="15" customHeight="1" x14ac:dyDescent="0.25">
      <c r="A49" s="159" t="s">
        <v>28</v>
      </c>
      <c r="B49" s="167" t="s">
        <v>21</v>
      </c>
      <c r="C49" s="168">
        <v>105614.18640999999</v>
      </c>
      <c r="D49" s="165">
        <v>108466.55847999999</v>
      </c>
      <c r="E49" s="165">
        <v>119494.45634999999</v>
      </c>
      <c r="F49" s="165">
        <v>111170.474</v>
      </c>
      <c r="G49" s="94">
        <f t="shared" si="0"/>
        <v>-2852.3720699999976</v>
      </c>
      <c r="H49" s="91" t="str">
        <f t="shared" si="1"/>
        <v>-2,6%</v>
      </c>
      <c r="I49" s="106"/>
      <c r="J49" s="154"/>
      <c r="K49" s="154"/>
      <c r="L49" s="154"/>
      <c r="M49" s="154"/>
      <c r="N49" s="154"/>
      <c r="O49" s="154"/>
    </row>
    <row r="50" spans="1:15" s="40" customFormat="1" ht="15" customHeight="1" x14ac:dyDescent="0.25">
      <c r="A50" s="104" t="s">
        <v>28</v>
      </c>
      <c r="B50" s="86" t="s">
        <v>8</v>
      </c>
      <c r="C50" s="64">
        <f>SUMIFS((C7:C49),(A7:A49),A50)</f>
        <v>113356.95625554712</v>
      </c>
      <c r="D50" s="64">
        <f>SUMIFS((D7:D49),(A7:A49),A50)</f>
        <v>261922.39983110706</v>
      </c>
      <c r="E50" s="64">
        <f>SUMIFS((E7:E49),(A7:A49),A50)</f>
        <v>387742.36396799562</v>
      </c>
      <c r="F50" s="64">
        <f>SUMIFS((F7:F49),(A7:A49),A50)</f>
        <v>380732.70048</v>
      </c>
      <c r="G50" s="101">
        <f t="shared" si="0"/>
        <v>-148565.44357555994</v>
      </c>
      <c r="H50" s="87" t="str">
        <f t="shared" si="1"/>
        <v>-56,7%▼</v>
      </c>
      <c r="I50" s="108"/>
      <c r="J50" s="39"/>
      <c r="K50" s="39"/>
      <c r="L50" s="39"/>
      <c r="M50" s="39"/>
      <c r="N50" s="39"/>
      <c r="O50" s="39"/>
    </row>
    <row r="51" spans="1:15" ht="15" customHeight="1" x14ac:dyDescent="0.25">
      <c r="C51" s="160"/>
      <c r="D51" s="160"/>
      <c r="E51" s="160"/>
      <c r="F51" s="160"/>
    </row>
    <row r="52" spans="1:15" ht="15" customHeight="1" x14ac:dyDescent="0.25">
      <c r="C52" s="160"/>
      <c r="D52" s="160"/>
      <c r="E52" s="160"/>
      <c r="F52" s="160"/>
    </row>
    <row r="53" spans="1:15" ht="15" customHeight="1" x14ac:dyDescent="0.25">
      <c r="C53" s="160"/>
      <c r="D53" s="160"/>
      <c r="E53" s="160"/>
      <c r="F53" s="160"/>
    </row>
    <row r="54" spans="1:15" ht="15" customHeight="1" x14ac:dyDescent="0.25">
      <c r="C54" s="160"/>
      <c r="D54" s="160"/>
      <c r="E54" s="160"/>
      <c r="F54" s="160"/>
    </row>
    <row r="55" spans="1:15" ht="15" customHeight="1" x14ac:dyDescent="0.25">
      <c r="C55" s="160"/>
      <c r="D55" s="160"/>
      <c r="E55" s="160"/>
      <c r="F55" s="160"/>
    </row>
    <row r="56" spans="1:15" ht="15" customHeight="1" x14ac:dyDescent="0.25">
      <c r="C56" s="160"/>
      <c r="D56" s="160"/>
      <c r="E56" s="160"/>
      <c r="F56" s="160"/>
    </row>
    <row r="57" spans="1:15" ht="15" customHeight="1" x14ac:dyDescent="0.25">
      <c r="C57" s="160"/>
      <c r="D57" s="160"/>
      <c r="E57" s="160"/>
      <c r="F57" s="160"/>
    </row>
    <row r="58" spans="1:15" ht="15" customHeight="1" x14ac:dyDescent="0.25">
      <c r="C58" s="160"/>
      <c r="D58" s="160"/>
      <c r="E58" s="160"/>
      <c r="F58" s="160"/>
    </row>
    <row r="59" spans="1:15" ht="15" customHeight="1" x14ac:dyDescent="0.25">
      <c r="C59" s="160"/>
      <c r="D59" s="160"/>
      <c r="E59" s="160"/>
      <c r="F59" s="160"/>
    </row>
    <row r="60" spans="1:15" ht="15" customHeight="1" x14ac:dyDescent="0.25">
      <c r="C60" s="160"/>
      <c r="D60" s="160"/>
      <c r="E60" s="160"/>
      <c r="F60" s="160"/>
    </row>
    <row r="61" spans="1:15" ht="15" customHeight="1" x14ac:dyDescent="0.25">
      <c r="C61" s="160"/>
      <c r="D61" s="160"/>
      <c r="E61" s="160"/>
      <c r="F61" s="160"/>
    </row>
    <row r="62" spans="1:15" ht="15" customHeight="1" x14ac:dyDescent="0.25">
      <c r="C62" s="160"/>
      <c r="D62" s="160"/>
      <c r="E62" s="160"/>
      <c r="F62" s="160"/>
    </row>
    <row r="63" spans="1:15" ht="15" customHeight="1" x14ac:dyDescent="0.25">
      <c r="C63" s="160"/>
      <c r="D63" s="160"/>
      <c r="E63" s="160"/>
      <c r="F63" s="160"/>
    </row>
    <row r="64" spans="1:15" ht="15" customHeight="1" x14ac:dyDescent="0.25">
      <c r="C64" s="160"/>
      <c r="D64" s="160"/>
      <c r="E64" s="160"/>
      <c r="F64" s="160"/>
    </row>
    <row r="65" spans="3:6" ht="15" customHeight="1" x14ac:dyDescent="0.25">
      <c r="C65" s="160"/>
      <c r="D65" s="160"/>
      <c r="E65" s="160"/>
      <c r="F65" s="160"/>
    </row>
    <row r="66" spans="3:6" ht="15" customHeight="1" x14ac:dyDescent="0.25">
      <c r="C66" s="160"/>
      <c r="D66" s="160"/>
      <c r="E66" s="160"/>
      <c r="F66" s="160"/>
    </row>
    <row r="67" spans="3:6" ht="15" customHeight="1" x14ac:dyDescent="0.25">
      <c r="C67" s="160"/>
      <c r="D67" s="160"/>
      <c r="E67" s="160"/>
      <c r="F67" s="160"/>
    </row>
    <row r="68" spans="3:6" ht="15" customHeight="1" x14ac:dyDescent="0.25">
      <c r="C68" s="160"/>
      <c r="D68" s="160"/>
      <c r="E68" s="160"/>
      <c r="F68" s="160"/>
    </row>
    <row r="69" spans="3:6" ht="15" customHeight="1" x14ac:dyDescent="0.25">
      <c r="C69" s="160"/>
      <c r="D69" s="160"/>
      <c r="E69" s="160"/>
      <c r="F69" s="160"/>
    </row>
    <row r="70" spans="3:6" ht="15" customHeight="1" x14ac:dyDescent="0.25">
      <c r="C70" s="160"/>
      <c r="D70" s="160"/>
      <c r="E70" s="160"/>
      <c r="F70" s="160"/>
    </row>
    <row r="71" spans="3:6" ht="15" customHeight="1" x14ac:dyDescent="0.25">
      <c r="C71" s="160"/>
      <c r="D71" s="160"/>
      <c r="E71" s="160"/>
      <c r="F71" s="160"/>
    </row>
    <row r="72" spans="3:6" ht="15" customHeight="1" x14ac:dyDescent="0.25">
      <c r="C72" s="160"/>
      <c r="D72" s="160"/>
      <c r="E72" s="160"/>
      <c r="F72" s="160"/>
    </row>
    <row r="73" spans="3:6" ht="15" customHeight="1" x14ac:dyDescent="0.25">
      <c r="C73" s="160"/>
      <c r="D73" s="160"/>
      <c r="E73" s="160"/>
      <c r="F73" s="160"/>
    </row>
    <row r="74" spans="3:6" ht="15" customHeight="1" x14ac:dyDescent="0.25">
      <c r="C74" s="160"/>
      <c r="D74" s="160"/>
      <c r="E74" s="160"/>
      <c r="F74" s="160"/>
    </row>
    <row r="75" spans="3:6" ht="15" customHeight="1" x14ac:dyDescent="0.25">
      <c r="C75" s="160"/>
      <c r="D75" s="160"/>
      <c r="E75" s="160"/>
      <c r="F75" s="160"/>
    </row>
    <row r="76" spans="3:6" ht="15" customHeight="1" x14ac:dyDescent="0.25">
      <c r="C76" s="160"/>
      <c r="D76" s="160"/>
      <c r="E76" s="160"/>
      <c r="F76" s="160"/>
    </row>
    <row r="77" spans="3:6" ht="15" customHeight="1" x14ac:dyDescent="0.25">
      <c r="C77" s="160"/>
      <c r="D77" s="160"/>
      <c r="E77" s="160"/>
      <c r="F77" s="160"/>
    </row>
    <row r="78" spans="3:6" ht="15" customHeight="1" x14ac:dyDescent="0.25">
      <c r="C78" s="160"/>
      <c r="D78" s="160"/>
      <c r="E78" s="160"/>
      <c r="F78" s="160"/>
    </row>
    <row r="79" spans="3:6" ht="15" customHeight="1" x14ac:dyDescent="0.25">
      <c r="C79" s="160"/>
      <c r="D79" s="160"/>
      <c r="E79" s="160"/>
      <c r="F79" s="160"/>
    </row>
    <row r="80" spans="3:6" ht="15" customHeight="1" x14ac:dyDescent="0.25">
      <c r="C80" s="160"/>
      <c r="D80" s="160"/>
      <c r="E80" s="160"/>
      <c r="F80" s="160"/>
    </row>
    <row r="81" spans="3:6" ht="15" customHeight="1" x14ac:dyDescent="0.25">
      <c r="C81" s="160"/>
      <c r="D81" s="160"/>
      <c r="E81" s="160"/>
      <c r="F81" s="160"/>
    </row>
    <row r="82" spans="3:6" ht="15" customHeight="1" x14ac:dyDescent="0.25">
      <c r="C82" s="160"/>
      <c r="D82" s="160"/>
      <c r="E82" s="160"/>
      <c r="F82" s="160"/>
    </row>
    <row r="83" spans="3:6" ht="15" customHeight="1" x14ac:dyDescent="0.25">
      <c r="C83" s="160"/>
      <c r="D83" s="160"/>
      <c r="E83" s="160"/>
      <c r="F83" s="160"/>
    </row>
    <row r="84" spans="3:6" ht="15" customHeight="1" x14ac:dyDescent="0.25">
      <c r="C84" s="160"/>
      <c r="D84" s="160"/>
      <c r="E84" s="160"/>
      <c r="F84" s="160"/>
    </row>
    <row r="85" spans="3:6" ht="15" customHeight="1" x14ac:dyDescent="0.25">
      <c r="C85" s="160"/>
      <c r="D85" s="160"/>
      <c r="E85" s="160"/>
      <c r="F85" s="160"/>
    </row>
    <row r="86" spans="3:6" ht="15" customHeight="1" x14ac:dyDescent="0.25">
      <c r="C86" s="160"/>
      <c r="D86" s="160"/>
      <c r="E86" s="160"/>
      <c r="F86" s="160"/>
    </row>
    <row r="87" spans="3:6" ht="15" customHeight="1" x14ac:dyDescent="0.25">
      <c r="C87" s="160"/>
      <c r="D87" s="160"/>
      <c r="E87" s="160"/>
      <c r="F87" s="160"/>
    </row>
    <row r="88" spans="3:6" ht="15" customHeight="1" x14ac:dyDescent="0.25">
      <c r="C88" s="160"/>
      <c r="D88" s="160"/>
      <c r="E88" s="160"/>
      <c r="F88" s="160"/>
    </row>
    <row r="89" spans="3:6" ht="15" customHeight="1" x14ac:dyDescent="0.25">
      <c r="C89" s="160"/>
      <c r="D89" s="160"/>
      <c r="E89" s="160"/>
      <c r="F89" s="160"/>
    </row>
    <row r="90" spans="3:6" ht="15" customHeight="1" x14ac:dyDescent="0.25">
      <c r="C90" s="160"/>
      <c r="D90" s="160"/>
      <c r="E90" s="160"/>
      <c r="F90" s="160"/>
    </row>
    <row r="91" spans="3:6" ht="15" customHeight="1" x14ac:dyDescent="0.25">
      <c r="C91" s="160"/>
      <c r="D91" s="160"/>
      <c r="E91" s="160"/>
      <c r="F91" s="160"/>
    </row>
    <row r="92" spans="3:6" ht="15" customHeight="1" x14ac:dyDescent="0.25">
      <c r="C92" s="160"/>
      <c r="D92" s="160"/>
      <c r="E92" s="160"/>
      <c r="F92" s="160"/>
    </row>
    <row r="93" spans="3:6" ht="15" customHeight="1" x14ac:dyDescent="0.25">
      <c r="C93" s="160"/>
      <c r="D93" s="160"/>
      <c r="E93" s="160"/>
      <c r="F93" s="160"/>
    </row>
    <row r="94" spans="3:6" ht="15" customHeight="1" x14ac:dyDescent="0.25">
      <c r="C94" s="160"/>
      <c r="D94" s="160"/>
      <c r="E94" s="160"/>
      <c r="F94" s="160"/>
    </row>
    <row r="95" spans="3:6" ht="15" customHeight="1" x14ac:dyDescent="0.25">
      <c r="C95" s="160"/>
      <c r="D95" s="160"/>
      <c r="E95" s="160"/>
      <c r="F95" s="160"/>
    </row>
    <row r="96" spans="3:6" ht="15" customHeight="1" x14ac:dyDescent="0.25">
      <c r="C96" s="160"/>
      <c r="D96" s="160"/>
      <c r="E96" s="160"/>
      <c r="F96" s="160"/>
    </row>
    <row r="97" spans="3:6" ht="15" customHeight="1" x14ac:dyDescent="0.25">
      <c r="C97" s="160"/>
      <c r="D97" s="160"/>
      <c r="E97" s="160"/>
      <c r="F97" s="160"/>
    </row>
    <row r="98" spans="3:6" ht="15" customHeight="1" x14ac:dyDescent="0.25">
      <c r="C98" s="160"/>
      <c r="D98" s="160"/>
      <c r="E98" s="160"/>
      <c r="F98" s="160"/>
    </row>
    <row r="99" spans="3:6" ht="15" customHeight="1" x14ac:dyDescent="0.25">
      <c r="C99" s="160"/>
      <c r="D99" s="160"/>
      <c r="E99" s="160"/>
      <c r="F99" s="160"/>
    </row>
    <row r="100" spans="3:6" ht="15" customHeight="1" x14ac:dyDescent="0.25">
      <c r="C100" s="160"/>
      <c r="D100" s="160"/>
      <c r="E100" s="160"/>
      <c r="F100" s="160"/>
    </row>
    <row r="101" spans="3:6" ht="15" customHeight="1" x14ac:dyDescent="0.25">
      <c r="C101" s="160"/>
      <c r="D101" s="160"/>
      <c r="E101" s="160"/>
      <c r="F101" s="160"/>
    </row>
    <row r="102" spans="3:6" ht="15" customHeight="1" x14ac:dyDescent="0.25">
      <c r="C102" s="160"/>
      <c r="D102" s="160"/>
      <c r="E102" s="160"/>
      <c r="F102" s="160"/>
    </row>
    <row r="103" spans="3:6" ht="15" customHeight="1" x14ac:dyDescent="0.25">
      <c r="C103" s="160"/>
      <c r="D103" s="160"/>
      <c r="E103" s="160"/>
      <c r="F103" s="160"/>
    </row>
    <row r="104" spans="3:6" ht="15" customHeight="1" x14ac:dyDescent="0.25">
      <c r="C104" s="160"/>
      <c r="D104" s="160"/>
      <c r="E104" s="160"/>
      <c r="F104" s="160"/>
    </row>
    <row r="105" spans="3:6" ht="15" customHeight="1" x14ac:dyDescent="0.25">
      <c r="C105" s="160"/>
      <c r="D105" s="160"/>
      <c r="E105" s="160"/>
      <c r="F105" s="160"/>
    </row>
    <row r="106" spans="3:6" ht="15" customHeight="1" x14ac:dyDescent="0.25">
      <c r="C106" s="160"/>
      <c r="D106" s="160"/>
      <c r="E106" s="160"/>
      <c r="F106" s="160"/>
    </row>
    <row r="107" spans="3:6" ht="15" customHeight="1" x14ac:dyDescent="0.25">
      <c r="C107" s="160"/>
      <c r="D107" s="160"/>
      <c r="E107" s="160"/>
      <c r="F107" s="160"/>
    </row>
    <row r="108" spans="3:6" ht="15" customHeight="1" x14ac:dyDescent="0.25">
      <c r="C108" s="160"/>
      <c r="D108" s="160"/>
      <c r="E108" s="160"/>
      <c r="F108" s="160"/>
    </row>
    <row r="109" spans="3:6" ht="15" customHeight="1" x14ac:dyDescent="0.25">
      <c r="C109" s="160"/>
      <c r="D109" s="160"/>
      <c r="E109" s="160"/>
      <c r="F109" s="160"/>
    </row>
    <row r="110" spans="3:6" ht="15" customHeight="1" x14ac:dyDescent="0.25">
      <c r="C110" s="160"/>
      <c r="D110" s="160"/>
      <c r="E110" s="160"/>
      <c r="F110" s="160"/>
    </row>
    <row r="111" spans="3:6" ht="15" customHeight="1" x14ac:dyDescent="0.25">
      <c r="C111" s="160"/>
      <c r="D111" s="160"/>
      <c r="E111" s="160"/>
      <c r="F111" s="160"/>
    </row>
    <row r="112" spans="3:6" ht="15" customHeight="1" x14ac:dyDescent="0.25">
      <c r="C112" s="160"/>
      <c r="D112" s="160"/>
      <c r="E112" s="160"/>
      <c r="F112" s="160"/>
    </row>
    <row r="113" spans="3:6" ht="15" customHeight="1" x14ac:dyDescent="0.25">
      <c r="C113" s="160"/>
      <c r="D113" s="160"/>
      <c r="E113" s="160"/>
      <c r="F113" s="160"/>
    </row>
    <row r="114" spans="3:6" ht="15" customHeight="1" x14ac:dyDescent="0.25">
      <c r="C114" s="160"/>
      <c r="D114" s="160"/>
      <c r="E114" s="160"/>
      <c r="F114" s="160"/>
    </row>
    <row r="115" spans="3:6" ht="15" customHeight="1" x14ac:dyDescent="0.25">
      <c r="C115" s="160"/>
      <c r="D115" s="160"/>
      <c r="E115" s="160"/>
      <c r="F115" s="160"/>
    </row>
    <row r="116" spans="3:6" ht="15" customHeight="1" x14ac:dyDescent="0.25">
      <c r="C116" s="160"/>
      <c r="D116" s="160"/>
      <c r="E116" s="160"/>
      <c r="F116" s="160"/>
    </row>
    <row r="117" spans="3:6" ht="15" customHeight="1" x14ac:dyDescent="0.25">
      <c r="C117" s="160"/>
      <c r="D117" s="160"/>
      <c r="E117" s="160"/>
      <c r="F117" s="160"/>
    </row>
    <row r="118" spans="3:6" ht="15" customHeight="1" x14ac:dyDescent="0.25">
      <c r="C118" s="160"/>
      <c r="D118" s="160"/>
      <c r="E118" s="160"/>
      <c r="F118" s="160"/>
    </row>
    <row r="119" spans="3:6" ht="15" customHeight="1" x14ac:dyDescent="0.25">
      <c r="C119" s="160"/>
      <c r="D119" s="160"/>
      <c r="E119" s="160"/>
      <c r="F119" s="160"/>
    </row>
    <row r="120" spans="3:6" ht="15" customHeight="1" x14ac:dyDescent="0.25">
      <c r="C120" s="160"/>
      <c r="D120" s="160"/>
      <c r="E120" s="160"/>
      <c r="F120" s="160"/>
    </row>
    <row r="121" spans="3:6" ht="15" customHeight="1" x14ac:dyDescent="0.25">
      <c r="C121" s="160"/>
      <c r="D121" s="160"/>
      <c r="E121" s="160"/>
      <c r="F121" s="160"/>
    </row>
    <row r="122" spans="3:6" ht="15" customHeight="1" x14ac:dyDescent="0.25">
      <c r="C122" s="160"/>
      <c r="D122" s="160"/>
      <c r="E122" s="160"/>
      <c r="F122" s="160"/>
    </row>
    <row r="123" spans="3:6" ht="15" customHeight="1" x14ac:dyDescent="0.25">
      <c r="C123" s="160"/>
      <c r="D123" s="160"/>
      <c r="E123" s="160"/>
      <c r="F123" s="160"/>
    </row>
    <row r="124" spans="3:6" ht="15" customHeight="1" x14ac:dyDescent="0.25">
      <c r="C124" s="160"/>
      <c r="D124" s="160"/>
      <c r="E124" s="160"/>
      <c r="F124" s="160"/>
    </row>
    <row r="125" spans="3:6" ht="15" customHeight="1" x14ac:dyDescent="0.25">
      <c r="C125" s="160"/>
      <c r="D125" s="160"/>
      <c r="E125" s="160"/>
      <c r="F125" s="160"/>
    </row>
    <row r="126" spans="3:6" ht="15" customHeight="1" x14ac:dyDescent="0.25">
      <c r="C126" s="160"/>
      <c r="D126" s="160"/>
      <c r="E126" s="160"/>
      <c r="F126" s="160"/>
    </row>
    <row r="127" spans="3:6" ht="15" customHeight="1" x14ac:dyDescent="0.25">
      <c r="C127" s="160"/>
      <c r="D127" s="160"/>
      <c r="E127" s="160"/>
      <c r="F127" s="160"/>
    </row>
    <row r="128" spans="3:6" ht="15" customHeight="1" x14ac:dyDescent="0.25">
      <c r="C128" s="160"/>
      <c r="D128" s="160"/>
      <c r="E128" s="160"/>
      <c r="F128" s="160"/>
    </row>
    <row r="129" spans="3:6" ht="15" customHeight="1" x14ac:dyDescent="0.25">
      <c r="C129" s="160"/>
      <c r="D129" s="160"/>
      <c r="E129" s="160"/>
      <c r="F129" s="160"/>
    </row>
    <row r="130" spans="3:6" ht="15" customHeight="1" x14ac:dyDescent="0.25">
      <c r="C130" s="160"/>
      <c r="D130" s="160"/>
      <c r="E130" s="160"/>
      <c r="F130" s="160"/>
    </row>
    <row r="131" spans="3:6" ht="15" customHeight="1" x14ac:dyDescent="0.25">
      <c r="C131" s="160"/>
      <c r="D131" s="160"/>
      <c r="E131" s="160"/>
      <c r="F131" s="160"/>
    </row>
    <row r="132" spans="3:6" ht="15" customHeight="1" x14ac:dyDescent="0.25">
      <c r="C132" s="160"/>
      <c r="D132" s="160"/>
      <c r="E132" s="160"/>
      <c r="F132" s="160"/>
    </row>
    <row r="133" spans="3:6" ht="15" customHeight="1" x14ac:dyDescent="0.25">
      <c r="C133" s="160"/>
      <c r="D133" s="160"/>
      <c r="E133" s="160"/>
      <c r="F133" s="160"/>
    </row>
    <row r="134" spans="3:6" ht="15" customHeight="1" x14ac:dyDescent="0.25">
      <c r="C134" s="160"/>
      <c r="D134" s="160"/>
      <c r="E134" s="160"/>
      <c r="F134" s="160"/>
    </row>
    <row r="135" spans="3:6" ht="15" customHeight="1" x14ac:dyDescent="0.25">
      <c r="C135" s="160"/>
      <c r="D135" s="160"/>
      <c r="E135" s="160"/>
      <c r="F135" s="160"/>
    </row>
    <row r="136" spans="3:6" ht="15" customHeight="1" x14ac:dyDescent="0.25">
      <c r="C136" s="160"/>
      <c r="D136" s="160"/>
      <c r="E136" s="160"/>
      <c r="F136" s="160"/>
    </row>
    <row r="137" spans="3:6" ht="15" customHeight="1" x14ac:dyDescent="0.25">
      <c r="C137" s="160"/>
      <c r="D137" s="160"/>
      <c r="E137" s="160"/>
      <c r="F137" s="160"/>
    </row>
    <row r="138" spans="3:6" ht="15" customHeight="1" x14ac:dyDescent="0.25">
      <c r="C138" s="160"/>
      <c r="D138" s="160"/>
      <c r="E138" s="160"/>
      <c r="F138" s="160"/>
    </row>
    <row r="139" spans="3:6" ht="15" customHeight="1" x14ac:dyDescent="0.25">
      <c r="C139" s="160"/>
      <c r="D139" s="160"/>
      <c r="E139" s="160"/>
      <c r="F139" s="160"/>
    </row>
    <row r="140" spans="3:6" ht="15" customHeight="1" x14ac:dyDescent="0.25">
      <c r="C140" s="160"/>
      <c r="D140" s="160"/>
      <c r="E140" s="160"/>
      <c r="F140" s="160"/>
    </row>
    <row r="141" spans="3:6" ht="15" customHeight="1" x14ac:dyDescent="0.25">
      <c r="C141" s="160"/>
      <c r="D141" s="160"/>
      <c r="E141" s="160"/>
      <c r="F141" s="160"/>
    </row>
    <row r="142" spans="3:6" ht="15" customHeight="1" x14ac:dyDescent="0.25">
      <c r="C142" s="160"/>
      <c r="D142" s="160"/>
      <c r="E142" s="160"/>
      <c r="F142" s="160"/>
    </row>
    <row r="143" spans="3:6" ht="15" customHeight="1" x14ac:dyDescent="0.25">
      <c r="C143" s="160"/>
      <c r="D143" s="160"/>
      <c r="E143" s="160"/>
      <c r="F143" s="160"/>
    </row>
    <row r="144" spans="3:6" ht="15" customHeight="1" x14ac:dyDescent="0.25">
      <c r="C144" s="160"/>
      <c r="D144" s="160"/>
      <c r="E144" s="160"/>
      <c r="F144" s="160"/>
    </row>
    <row r="145" spans="3:6" ht="15" customHeight="1" x14ac:dyDescent="0.25">
      <c r="C145" s="160"/>
      <c r="D145" s="160"/>
      <c r="E145" s="160"/>
      <c r="F145" s="160"/>
    </row>
    <row r="146" spans="3:6" ht="15" customHeight="1" x14ac:dyDescent="0.25">
      <c r="C146" s="160"/>
      <c r="D146" s="160"/>
      <c r="E146" s="160"/>
      <c r="F146" s="160"/>
    </row>
    <row r="147" spans="3:6" ht="15" customHeight="1" x14ac:dyDescent="0.25">
      <c r="C147" s="160"/>
      <c r="D147" s="160"/>
      <c r="E147" s="160"/>
      <c r="F147" s="160"/>
    </row>
    <row r="148" spans="3:6" ht="15" customHeight="1" x14ac:dyDescent="0.25">
      <c r="C148" s="160"/>
      <c r="D148" s="160"/>
      <c r="E148" s="160"/>
      <c r="F148" s="160"/>
    </row>
    <row r="149" spans="3:6" ht="15" customHeight="1" x14ac:dyDescent="0.25">
      <c r="C149" s="160"/>
      <c r="D149" s="160"/>
      <c r="E149" s="160"/>
      <c r="F149" s="160"/>
    </row>
    <row r="150" spans="3:6" ht="15" customHeight="1" x14ac:dyDescent="0.25">
      <c r="C150" s="160"/>
      <c r="D150" s="160"/>
      <c r="E150" s="160"/>
      <c r="F150" s="160"/>
    </row>
    <row r="151" spans="3:6" ht="15" customHeight="1" x14ac:dyDescent="0.25">
      <c r="C151" s="160"/>
      <c r="D151" s="160"/>
      <c r="E151" s="160"/>
      <c r="F151" s="160"/>
    </row>
    <row r="152" spans="3:6" ht="15" customHeight="1" x14ac:dyDescent="0.25">
      <c r="C152" s="160"/>
      <c r="D152" s="160"/>
      <c r="E152" s="160"/>
      <c r="F152" s="160"/>
    </row>
    <row r="153" spans="3:6" ht="15" customHeight="1" x14ac:dyDescent="0.25">
      <c r="C153" s="160"/>
      <c r="D153" s="160"/>
      <c r="E153" s="160"/>
      <c r="F153" s="160"/>
    </row>
    <row r="154" spans="3:6" ht="15" customHeight="1" x14ac:dyDescent="0.25">
      <c r="C154" s="160"/>
      <c r="D154" s="160"/>
      <c r="E154" s="160"/>
      <c r="F154" s="160"/>
    </row>
    <row r="155" spans="3:6" ht="15" customHeight="1" x14ac:dyDescent="0.25">
      <c r="C155" s="160"/>
      <c r="D155" s="160"/>
      <c r="E155" s="160"/>
      <c r="F155" s="160"/>
    </row>
    <row r="156" spans="3:6" ht="15" customHeight="1" x14ac:dyDescent="0.25">
      <c r="C156" s="160"/>
      <c r="D156" s="160"/>
      <c r="E156" s="160"/>
      <c r="F156" s="160"/>
    </row>
    <row r="157" spans="3:6" ht="15" customHeight="1" x14ac:dyDescent="0.25">
      <c r="C157" s="160"/>
      <c r="D157" s="160"/>
      <c r="E157" s="160"/>
      <c r="F157" s="160"/>
    </row>
    <row r="158" spans="3:6" ht="15" customHeight="1" x14ac:dyDescent="0.25">
      <c r="C158" s="160"/>
      <c r="D158" s="160"/>
      <c r="E158" s="160"/>
      <c r="F158" s="160"/>
    </row>
    <row r="159" spans="3:6" ht="15" customHeight="1" x14ac:dyDescent="0.25">
      <c r="C159" s="160"/>
      <c r="D159" s="160"/>
      <c r="E159" s="160"/>
      <c r="F159" s="160"/>
    </row>
    <row r="160" spans="3:6" ht="15" customHeight="1" x14ac:dyDescent="0.25">
      <c r="C160" s="160"/>
      <c r="D160" s="160"/>
      <c r="E160" s="160"/>
      <c r="F160" s="160"/>
    </row>
    <row r="161" spans="3:6" ht="15" customHeight="1" x14ac:dyDescent="0.25">
      <c r="C161" s="160"/>
      <c r="D161" s="160"/>
      <c r="E161" s="160"/>
      <c r="F161" s="160"/>
    </row>
    <row r="162" spans="3:6" ht="15" customHeight="1" x14ac:dyDescent="0.25">
      <c r="C162" s="160"/>
      <c r="D162" s="160"/>
      <c r="E162" s="160"/>
      <c r="F162" s="160"/>
    </row>
    <row r="163" spans="3:6" ht="15" customHeight="1" x14ac:dyDescent="0.25">
      <c r="C163" s="160"/>
      <c r="D163" s="160"/>
      <c r="E163" s="160"/>
      <c r="F163" s="160"/>
    </row>
    <row r="164" spans="3:6" ht="15" customHeight="1" x14ac:dyDescent="0.25">
      <c r="C164" s="160"/>
      <c r="D164" s="160"/>
      <c r="E164" s="160"/>
      <c r="F164" s="160"/>
    </row>
    <row r="165" spans="3:6" ht="15" customHeight="1" x14ac:dyDescent="0.25">
      <c r="C165" s="160"/>
      <c r="D165" s="160"/>
      <c r="E165" s="160"/>
      <c r="F165" s="160"/>
    </row>
    <row r="166" spans="3:6" ht="15" customHeight="1" x14ac:dyDescent="0.25">
      <c r="C166" s="160"/>
      <c r="D166" s="160"/>
      <c r="E166" s="160"/>
      <c r="F166" s="160"/>
    </row>
    <row r="167" spans="3:6" ht="15" customHeight="1" x14ac:dyDescent="0.25">
      <c r="C167" s="160"/>
      <c r="D167" s="160"/>
      <c r="E167" s="160"/>
      <c r="F167" s="160"/>
    </row>
    <row r="168" spans="3:6" ht="15" customHeight="1" x14ac:dyDescent="0.25">
      <c r="C168" s="160"/>
      <c r="D168" s="160"/>
      <c r="E168" s="160"/>
      <c r="F168" s="160"/>
    </row>
    <row r="169" spans="3:6" ht="15" customHeight="1" x14ac:dyDescent="0.25">
      <c r="C169" s="160"/>
      <c r="D169" s="160"/>
      <c r="E169" s="160"/>
      <c r="F169" s="160"/>
    </row>
    <row r="170" spans="3:6" ht="15" customHeight="1" x14ac:dyDescent="0.25">
      <c r="C170" s="160"/>
      <c r="D170" s="160"/>
      <c r="E170" s="160"/>
      <c r="F170" s="160"/>
    </row>
    <row r="171" spans="3:6" ht="15" customHeight="1" x14ac:dyDescent="0.25">
      <c r="C171" s="160"/>
      <c r="D171" s="160"/>
      <c r="E171" s="160"/>
      <c r="F171" s="160"/>
    </row>
    <row r="172" spans="3:6" ht="15" customHeight="1" x14ac:dyDescent="0.25">
      <c r="C172" s="160"/>
      <c r="D172" s="160"/>
      <c r="E172" s="160"/>
      <c r="F172" s="160"/>
    </row>
    <row r="173" spans="3:6" ht="15" customHeight="1" x14ac:dyDescent="0.25">
      <c r="C173" s="160"/>
      <c r="D173" s="160"/>
      <c r="E173" s="160"/>
      <c r="F173" s="160"/>
    </row>
    <row r="174" spans="3:6" ht="15" customHeight="1" x14ac:dyDescent="0.25">
      <c r="C174" s="160"/>
      <c r="D174" s="160"/>
      <c r="E174" s="160"/>
      <c r="F174" s="160"/>
    </row>
    <row r="175" spans="3:6" ht="15" customHeight="1" x14ac:dyDescent="0.25">
      <c r="C175" s="160"/>
      <c r="D175" s="160"/>
      <c r="E175" s="160"/>
      <c r="F175" s="160"/>
    </row>
    <row r="176" spans="3:6" ht="15" customHeight="1" x14ac:dyDescent="0.25">
      <c r="C176" s="160"/>
      <c r="D176" s="160"/>
      <c r="E176" s="160"/>
      <c r="F176" s="160"/>
    </row>
    <row r="177" spans="3:6" ht="15" customHeight="1" x14ac:dyDescent="0.25">
      <c r="C177" s="160"/>
      <c r="D177" s="160"/>
      <c r="E177" s="160"/>
      <c r="F177" s="160"/>
    </row>
    <row r="178" spans="3:6" ht="15" customHeight="1" x14ac:dyDescent="0.25">
      <c r="C178" s="160"/>
      <c r="D178" s="160"/>
      <c r="E178" s="160"/>
      <c r="F178" s="160"/>
    </row>
    <row r="179" spans="3:6" ht="15" customHeight="1" x14ac:dyDescent="0.25">
      <c r="C179" s="160"/>
      <c r="D179" s="160"/>
      <c r="E179" s="160"/>
      <c r="F179" s="160"/>
    </row>
    <row r="180" spans="3:6" ht="15" customHeight="1" x14ac:dyDescent="0.25">
      <c r="C180" s="160"/>
      <c r="D180" s="160"/>
      <c r="E180" s="160"/>
      <c r="F180" s="160"/>
    </row>
    <row r="181" spans="3:6" ht="15" customHeight="1" x14ac:dyDescent="0.25">
      <c r="C181" s="160"/>
      <c r="D181" s="160"/>
      <c r="E181" s="160"/>
      <c r="F181" s="160"/>
    </row>
    <row r="182" spans="3:6" ht="15" customHeight="1" x14ac:dyDescent="0.25">
      <c r="C182" s="160"/>
      <c r="D182" s="160"/>
      <c r="E182" s="160"/>
      <c r="F182" s="160"/>
    </row>
    <row r="183" spans="3:6" ht="15" customHeight="1" x14ac:dyDescent="0.25">
      <c r="C183" s="160"/>
      <c r="D183" s="160"/>
      <c r="E183" s="160"/>
      <c r="F183" s="160"/>
    </row>
    <row r="184" spans="3:6" ht="15" customHeight="1" x14ac:dyDescent="0.25">
      <c r="C184" s="160"/>
      <c r="D184" s="160"/>
      <c r="E184" s="160"/>
      <c r="F184" s="160"/>
    </row>
    <row r="185" spans="3:6" ht="15" customHeight="1" x14ac:dyDescent="0.25">
      <c r="C185" s="160"/>
      <c r="D185" s="160"/>
      <c r="E185" s="160"/>
      <c r="F185" s="160"/>
    </row>
    <row r="186" spans="3:6" ht="15" customHeight="1" x14ac:dyDescent="0.25">
      <c r="C186" s="160"/>
      <c r="D186" s="160"/>
      <c r="E186" s="160"/>
      <c r="F186" s="160"/>
    </row>
    <row r="187" spans="3:6" ht="15" customHeight="1" x14ac:dyDescent="0.25">
      <c r="C187" s="160"/>
      <c r="D187" s="160"/>
      <c r="E187" s="160"/>
      <c r="F187" s="160"/>
    </row>
    <row r="188" spans="3:6" ht="15" customHeight="1" x14ac:dyDescent="0.25">
      <c r="C188" s="160"/>
      <c r="D188" s="160"/>
      <c r="E188" s="160"/>
      <c r="F188" s="160"/>
    </row>
    <row r="189" spans="3:6" ht="15" customHeight="1" x14ac:dyDescent="0.25">
      <c r="C189" s="160"/>
      <c r="D189" s="160"/>
      <c r="E189" s="160"/>
      <c r="F189" s="160"/>
    </row>
    <row r="190" spans="3:6" ht="15" customHeight="1" x14ac:dyDescent="0.25">
      <c r="C190" s="160"/>
      <c r="D190" s="160"/>
      <c r="E190" s="160"/>
      <c r="F190" s="160"/>
    </row>
    <row r="191" spans="3:6" ht="15" customHeight="1" x14ac:dyDescent="0.25">
      <c r="C191" s="160"/>
      <c r="D191" s="160"/>
      <c r="E191" s="160"/>
      <c r="F191" s="160"/>
    </row>
    <row r="192" spans="3:6" ht="15" customHeight="1" x14ac:dyDescent="0.25">
      <c r="C192" s="160"/>
      <c r="D192" s="160"/>
      <c r="E192" s="160"/>
      <c r="F192" s="160"/>
    </row>
    <row r="193" spans="3:6" ht="15" customHeight="1" x14ac:dyDescent="0.25">
      <c r="C193" s="160"/>
      <c r="D193" s="160"/>
      <c r="E193" s="160"/>
      <c r="F193" s="160"/>
    </row>
    <row r="194" spans="3:6" ht="15" customHeight="1" x14ac:dyDescent="0.25">
      <c r="C194" s="160"/>
      <c r="D194" s="160"/>
      <c r="E194" s="160"/>
      <c r="F194" s="160"/>
    </row>
    <row r="195" spans="3:6" ht="15" customHeight="1" x14ac:dyDescent="0.25">
      <c r="C195" s="160"/>
      <c r="D195" s="160"/>
      <c r="E195" s="160"/>
      <c r="F195" s="160"/>
    </row>
    <row r="196" spans="3:6" ht="15" customHeight="1" x14ac:dyDescent="0.25">
      <c r="C196" s="160"/>
      <c r="D196" s="160"/>
      <c r="E196" s="160"/>
      <c r="F196" s="160"/>
    </row>
    <row r="197" spans="3:6" ht="15" customHeight="1" x14ac:dyDescent="0.25">
      <c r="C197" s="160"/>
      <c r="D197" s="160"/>
      <c r="E197" s="160"/>
      <c r="F197" s="160"/>
    </row>
    <row r="198" spans="3:6" ht="15" customHeight="1" x14ac:dyDescent="0.25">
      <c r="C198" s="160"/>
      <c r="D198" s="160"/>
      <c r="E198" s="160"/>
      <c r="F198" s="160"/>
    </row>
    <row r="199" spans="3:6" ht="15" customHeight="1" x14ac:dyDescent="0.25">
      <c r="C199" s="160"/>
      <c r="D199" s="160"/>
      <c r="E199" s="160"/>
      <c r="F199" s="160"/>
    </row>
    <row r="200" spans="3:6" ht="15" customHeight="1" x14ac:dyDescent="0.25">
      <c r="C200" s="160"/>
      <c r="D200" s="160"/>
      <c r="E200" s="160"/>
      <c r="F200" s="160"/>
    </row>
    <row r="201" spans="3:6" ht="15" customHeight="1" x14ac:dyDescent="0.25">
      <c r="C201" s="160"/>
      <c r="D201" s="160"/>
      <c r="E201" s="160"/>
      <c r="F201" s="160"/>
    </row>
    <row r="202" spans="3:6" ht="15" customHeight="1" x14ac:dyDescent="0.25">
      <c r="C202" s="160"/>
      <c r="D202" s="160"/>
      <c r="E202" s="160"/>
      <c r="F202" s="160"/>
    </row>
    <row r="203" spans="3:6" ht="15" customHeight="1" x14ac:dyDescent="0.25">
      <c r="C203" s="160"/>
      <c r="D203" s="160"/>
      <c r="E203" s="160"/>
      <c r="F203" s="160"/>
    </row>
    <row r="204" spans="3:6" ht="15" customHeight="1" x14ac:dyDescent="0.25">
      <c r="C204" s="160"/>
      <c r="D204" s="160"/>
      <c r="E204" s="160"/>
      <c r="F204" s="160"/>
    </row>
    <row r="205" spans="3:6" ht="15" customHeight="1" x14ac:dyDescent="0.25">
      <c r="C205" s="160"/>
      <c r="D205" s="160"/>
      <c r="E205" s="160"/>
      <c r="F205" s="160"/>
    </row>
    <row r="206" spans="3:6" ht="15" customHeight="1" x14ac:dyDescent="0.25">
      <c r="C206" s="160"/>
      <c r="D206" s="160"/>
      <c r="E206" s="160"/>
      <c r="F206" s="160"/>
    </row>
    <row r="207" spans="3:6" ht="15" customHeight="1" x14ac:dyDescent="0.25">
      <c r="C207" s="160"/>
      <c r="D207" s="160"/>
      <c r="E207" s="160"/>
      <c r="F207" s="160"/>
    </row>
    <row r="208" spans="3:6" ht="15" customHeight="1" x14ac:dyDescent="0.25">
      <c r="C208" s="160"/>
      <c r="D208" s="160"/>
      <c r="E208" s="160"/>
      <c r="F208" s="160"/>
    </row>
    <row r="209" spans="3:6" ht="15" customHeight="1" x14ac:dyDescent="0.25">
      <c r="C209" s="160"/>
      <c r="D209" s="160"/>
      <c r="E209" s="160"/>
      <c r="F209" s="160"/>
    </row>
    <row r="210" spans="3:6" ht="15" customHeight="1" x14ac:dyDescent="0.25">
      <c r="C210" s="160"/>
      <c r="D210" s="160"/>
      <c r="E210" s="160"/>
      <c r="F210" s="160"/>
    </row>
    <row r="211" spans="3:6" ht="15" customHeight="1" x14ac:dyDescent="0.25">
      <c r="C211" s="160"/>
      <c r="D211" s="160"/>
      <c r="E211" s="160"/>
      <c r="F211" s="160"/>
    </row>
    <row r="212" spans="3:6" ht="15" customHeight="1" x14ac:dyDescent="0.25">
      <c r="C212" s="160"/>
      <c r="D212" s="160"/>
      <c r="E212" s="160"/>
      <c r="F212" s="160"/>
    </row>
    <row r="213" spans="3:6" ht="15" customHeight="1" x14ac:dyDescent="0.25">
      <c r="C213" s="160"/>
      <c r="D213" s="160"/>
      <c r="E213" s="160"/>
      <c r="F213" s="160"/>
    </row>
    <row r="214" spans="3:6" ht="15" customHeight="1" x14ac:dyDescent="0.25">
      <c r="C214" s="160"/>
      <c r="D214" s="160"/>
      <c r="E214" s="160"/>
      <c r="F214" s="160"/>
    </row>
    <row r="215" spans="3:6" ht="15" customHeight="1" x14ac:dyDescent="0.25">
      <c r="C215" s="160"/>
      <c r="D215" s="160"/>
      <c r="E215" s="160"/>
      <c r="F215" s="160"/>
    </row>
    <row r="216" spans="3:6" ht="15" customHeight="1" x14ac:dyDescent="0.25">
      <c r="C216" s="160"/>
      <c r="D216" s="160"/>
      <c r="E216" s="160"/>
      <c r="F216" s="160"/>
    </row>
    <row r="217" spans="3:6" ht="15" customHeight="1" x14ac:dyDescent="0.25">
      <c r="C217" s="160"/>
      <c r="D217" s="160"/>
      <c r="E217" s="160"/>
      <c r="F217" s="160"/>
    </row>
    <row r="218" spans="3:6" ht="15" customHeight="1" x14ac:dyDescent="0.25">
      <c r="C218" s="160"/>
      <c r="D218" s="160"/>
      <c r="E218" s="160"/>
      <c r="F218" s="160"/>
    </row>
    <row r="219" spans="3:6" ht="15" customHeight="1" x14ac:dyDescent="0.25">
      <c r="C219" s="160"/>
      <c r="D219" s="160"/>
      <c r="E219" s="160"/>
      <c r="F219" s="160"/>
    </row>
    <row r="220" spans="3:6" ht="15" customHeight="1" x14ac:dyDescent="0.25">
      <c r="C220" s="160"/>
      <c r="D220" s="160"/>
      <c r="E220" s="160"/>
      <c r="F220" s="160"/>
    </row>
    <row r="221" spans="3:6" ht="15" customHeight="1" x14ac:dyDescent="0.25">
      <c r="C221" s="160"/>
      <c r="D221" s="160"/>
      <c r="E221" s="160"/>
      <c r="F221" s="160"/>
    </row>
    <row r="222" spans="3:6" ht="15" customHeight="1" x14ac:dyDescent="0.25">
      <c r="C222" s="160"/>
      <c r="D222" s="160"/>
      <c r="E222" s="160"/>
      <c r="F222" s="160"/>
    </row>
    <row r="223" spans="3:6" ht="15" customHeight="1" x14ac:dyDescent="0.25">
      <c r="C223" s="160"/>
      <c r="D223" s="160"/>
      <c r="E223" s="160"/>
      <c r="F223" s="160"/>
    </row>
    <row r="224" spans="3:6" ht="15" customHeight="1" x14ac:dyDescent="0.25">
      <c r="C224" s="160"/>
      <c r="D224" s="160"/>
      <c r="E224" s="160"/>
      <c r="F224" s="160"/>
    </row>
    <row r="225" spans="3:6" ht="15" customHeight="1" x14ac:dyDescent="0.25">
      <c r="C225" s="160"/>
      <c r="D225" s="160"/>
      <c r="E225" s="160"/>
      <c r="F225" s="160"/>
    </row>
    <row r="226" spans="3:6" ht="15" customHeight="1" x14ac:dyDescent="0.25">
      <c r="C226" s="160"/>
      <c r="D226" s="160"/>
      <c r="E226" s="160"/>
      <c r="F226" s="160"/>
    </row>
    <row r="227" spans="3:6" ht="15" customHeight="1" x14ac:dyDescent="0.25">
      <c r="C227" s="160"/>
      <c r="D227" s="160"/>
      <c r="E227" s="160"/>
      <c r="F227" s="160"/>
    </row>
    <row r="228" spans="3:6" ht="15" customHeight="1" x14ac:dyDescent="0.25">
      <c r="C228" s="160"/>
      <c r="D228" s="160"/>
      <c r="E228" s="160"/>
      <c r="F228" s="160"/>
    </row>
    <row r="229" spans="3:6" ht="15" customHeight="1" x14ac:dyDescent="0.25">
      <c r="C229" s="160"/>
      <c r="D229" s="160"/>
      <c r="E229" s="160"/>
      <c r="F229" s="160"/>
    </row>
    <row r="230" spans="3:6" ht="15" customHeight="1" x14ac:dyDescent="0.25">
      <c r="C230" s="160"/>
      <c r="D230" s="160"/>
      <c r="E230" s="160"/>
      <c r="F230" s="160"/>
    </row>
    <row r="231" spans="3:6" ht="15" customHeight="1" x14ac:dyDescent="0.25">
      <c r="C231" s="160"/>
      <c r="D231" s="160"/>
      <c r="E231" s="160"/>
      <c r="F231" s="160"/>
    </row>
    <row r="232" spans="3:6" ht="15" customHeight="1" x14ac:dyDescent="0.25">
      <c r="C232" s="160"/>
      <c r="D232" s="160"/>
      <c r="E232" s="160"/>
      <c r="F232" s="160"/>
    </row>
    <row r="233" spans="3:6" ht="15" customHeight="1" x14ac:dyDescent="0.25">
      <c r="C233" s="160"/>
      <c r="D233" s="160"/>
      <c r="E233" s="160"/>
      <c r="F233" s="160"/>
    </row>
    <row r="234" spans="3:6" ht="15" customHeight="1" x14ac:dyDescent="0.25">
      <c r="C234" s="160"/>
      <c r="D234" s="160"/>
      <c r="E234" s="160"/>
      <c r="F234" s="160"/>
    </row>
    <row r="235" spans="3:6" ht="15" customHeight="1" x14ac:dyDescent="0.25">
      <c r="C235" s="160"/>
      <c r="D235" s="160"/>
      <c r="E235" s="160"/>
      <c r="F235" s="160"/>
    </row>
    <row r="236" spans="3:6" ht="15" customHeight="1" x14ac:dyDescent="0.25">
      <c r="C236" s="160"/>
      <c r="D236" s="160"/>
      <c r="E236" s="160"/>
      <c r="F236" s="160"/>
    </row>
    <row r="237" spans="3:6" ht="15" customHeight="1" x14ac:dyDescent="0.25">
      <c r="C237" s="160"/>
      <c r="D237" s="160"/>
      <c r="E237" s="160"/>
      <c r="F237" s="160"/>
    </row>
    <row r="238" spans="3:6" ht="15" customHeight="1" x14ac:dyDescent="0.25">
      <c r="C238" s="160"/>
      <c r="D238" s="160"/>
      <c r="E238" s="160"/>
      <c r="F238" s="160"/>
    </row>
    <row r="239" spans="3:6" ht="15" customHeight="1" x14ac:dyDescent="0.25">
      <c r="C239" s="160"/>
      <c r="D239" s="160"/>
      <c r="E239" s="160"/>
      <c r="F239" s="160"/>
    </row>
    <row r="240" spans="3:6" ht="15" customHeight="1" x14ac:dyDescent="0.25">
      <c r="C240" s="160"/>
      <c r="D240" s="160"/>
      <c r="E240" s="160"/>
      <c r="F240" s="160"/>
    </row>
    <row r="241" spans="3:6" ht="15" customHeight="1" x14ac:dyDescent="0.25">
      <c r="C241" s="160"/>
      <c r="D241" s="160"/>
      <c r="E241" s="160"/>
      <c r="F241" s="160"/>
    </row>
    <row r="242" spans="3:6" ht="15" customHeight="1" x14ac:dyDescent="0.25">
      <c r="C242" s="160"/>
      <c r="D242" s="160"/>
      <c r="E242" s="160"/>
      <c r="F242" s="160"/>
    </row>
    <row r="243" spans="3:6" ht="15" customHeight="1" x14ac:dyDescent="0.25">
      <c r="C243" s="160"/>
      <c r="D243" s="160"/>
      <c r="E243" s="160"/>
      <c r="F243" s="160"/>
    </row>
    <row r="244" spans="3:6" ht="15" customHeight="1" x14ac:dyDescent="0.25">
      <c r="C244" s="160"/>
      <c r="D244" s="160"/>
      <c r="E244" s="160"/>
      <c r="F244" s="160"/>
    </row>
    <row r="245" spans="3:6" ht="15" customHeight="1" x14ac:dyDescent="0.25">
      <c r="C245" s="160"/>
      <c r="D245" s="160"/>
      <c r="E245" s="160"/>
      <c r="F245" s="160"/>
    </row>
    <row r="246" spans="3:6" ht="15" customHeight="1" x14ac:dyDescent="0.25">
      <c r="C246" s="160"/>
      <c r="D246" s="160"/>
      <c r="E246" s="160"/>
      <c r="F246" s="160"/>
    </row>
    <row r="247" spans="3:6" ht="15" customHeight="1" x14ac:dyDescent="0.25">
      <c r="C247" s="160"/>
      <c r="D247" s="160"/>
      <c r="E247" s="160"/>
      <c r="F247" s="160"/>
    </row>
    <row r="248" spans="3:6" ht="15" customHeight="1" x14ac:dyDescent="0.25">
      <c r="C248" s="160"/>
      <c r="D248" s="160"/>
      <c r="E248" s="160"/>
      <c r="F248" s="160"/>
    </row>
    <row r="249" spans="3:6" ht="15" customHeight="1" x14ac:dyDescent="0.25">
      <c r="C249" s="160"/>
      <c r="D249" s="160"/>
      <c r="E249" s="160"/>
      <c r="F249" s="160"/>
    </row>
    <row r="250" spans="3:6" ht="15" customHeight="1" x14ac:dyDescent="0.25">
      <c r="C250" s="160"/>
      <c r="D250" s="160"/>
      <c r="E250" s="160"/>
      <c r="F250" s="160"/>
    </row>
    <row r="251" spans="3:6" ht="15" customHeight="1" x14ac:dyDescent="0.25">
      <c r="C251" s="160"/>
      <c r="D251" s="160"/>
      <c r="E251" s="160"/>
      <c r="F251" s="160"/>
    </row>
    <row r="252" spans="3:6" ht="15" customHeight="1" x14ac:dyDescent="0.25">
      <c r="C252" s="160"/>
      <c r="D252" s="160"/>
      <c r="E252" s="160"/>
      <c r="F252" s="160"/>
    </row>
    <row r="253" spans="3:6" ht="15" customHeight="1" x14ac:dyDescent="0.25">
      <c r="C253" s="160"/>
      <c r="D253" s="160"/>
      <c r="E253" s="160"/>
      <c r="F253" s="160"/>
    </row>
    <row r="254" spans="3:6" ht="15" customHeight="1" x14ac:dyDescent="0.25">
      <c r="C254" s="160"/>
      <c r="D254" s="160"/>
      <c r="E254" s="160"/>
      <c r="F254" s="160"/>
    </row>
    <row r="255" spans="3:6" ht="15" customHeight="1" x14ac:dyDescent="0.25">
      <c r="C255" s="160"/>
      <c r="D255" s="160"/>
      <c r="E255" s="160"/>
      <c r="F255" s="160"/>
    </row>
    <row r="256" spans="3:6" ht="15" customHeight="1" x14ac:dyDescent="0.25">
      <c r="C256" s="160"/>
      <c r="D256" s="160"/>
      <c r="E256" s="160"/>
      <c r="F256" s="160"/>
    </row>
    <row r="257" spans="3:6" ht="15" customHeight="1" x14ac:dyDescent="0.25">
      <c r="C257" s="160"/>
      <c r="D257" s="160"/>
      <c r="E257" s="160"/>
      <c r="F257" s="160"/>
    </row>
    <row r="258" spans="3:6" ht="15" customHeight="1" x14ac:dyDescent="0.25">
      <c r="C258" s="160"/>
      <c r="D258" s="160"/>
      <c r="E258" s="160"/>
      <c r="F258" s="160"/>
    </row>
    <row r="259" spans="3:6" ht="15" customHeight="1" x14ac:dyDescent="0.25">
      <c r="C259" s="160"/>
      <c r="D259" s="160"/>
      <c r="E259" s="160"/>
      <c r="F259" s="160"/>
    </row>
    <row r="260" spans="3:6" ht="15" customHeight="1" x14ac:dyDescent="0.25">
      <c r="C260" s="160"/>
      <c r="D260" s="160"/>
      <c r="E260" s="160"/>
      <c r="F260" s="160"/>
    </row>
    <row r="261" spans="3:6" ht="15" customHeight="1" x14ac:dyDescent="0.25">
      <c r="C261" s="160"/>
      <c r="D261" s="160"/>
      <c r="E261" s="160"/>
      <c r="F261" s="160"/>
    </row>
    <row r="262" spans="3:6" ht="15" customHeight="1" x14ac:dyDescent="0.25">
      <c r="C262" s="160"/>
      <c r="D262" s="160"/>
      <c r="E262" s="160"/>
      <c r="F262" s="160"/>
    </row>
    <row r="263" spans="3:6" ht="15" customHeight="1" x14ac:dyDescent="0.25">
      <c r="C263" s="160"/>
      <c r="D263" s="160"/>
      <c r="E263" s="160"/>
      <c r="F263" s="160"/>
    </row>
    <row r="264" spans="3:6" ht="15" customHeight="1" x14ac:dyDescent="0.25">
      <c r="C264" s="160"/>
      <c r="D264" s="160"/>
      <c r="E264" s="160"/>
      <c r="F264" s="160"/>
    </row>
    <row r="265" spans="3:6" ht="15" customHeight="1" x14ac:dyDescent="0.25">
      <c r="C265" s="160"/>
      <c r="D265" s="160"/>
      <c r="E265" s="160"/>
      <c r="F265" s="160"/>
    </row>
    <row r="266" spans="3:6" ht="15" customHeight="1" x14ac:dyDescent="0.25">
      <c r="C266" s="160"/>
      <c r="D266" s="160"/>
      <c r="E266" s="160"/>
      <c r="F266" s="160"/>
    </row>
    <row r="267" spans="3:6" ht="15" customHeight="1" x14ac:dyDescent="0.25">
      <c r="C267" s="160"/>
      <c r="D267" s="160"/>
      <c r="E267" s="160"/>
      <c r="F267" s="160"/>
    </row>
    <row r="268" spans="3:6" ht="15" customHeight="1" x14ac:dyDescent="0.25">
      <c r="C268" s="160"/>
      <c r="D268" s="160"/>
      <c r="E268" s="160"/>
      <c r="F268" s="160"/>
    </row>
    <row r="269" spans="3:6" ht="15" customHeight="1" x14ac:dyDescent="0.25">
      <c r="C269" s="160"/>
      <c r="D269" s="160"/>
      <c r="E269" s="160"/>
      <c r="F269" s="160"/>
    </row>
    <row r="270" spans="3:6" ht="15" customHeight="1" x14ac:dyDescent="0.25">
      <c r="C270" s="160"/>
      <c r="D270" s="160"/>
      <c r="E270" s="160"/>
      <c r="F270" s="160"/>
    </row>
    <row r="271" spans="3:6" ht="15" customHeight="1" x14ac:dyDescent="0.25">
      <c r="C271" s="160"/>
      <c r="D271" s="160"/>
      <c r="E271" s="160"/>
      <c r="F271" s="160"/>
    </row>
    <row r="272" spans="3:6" ht="15" customHeight="1" x14ac:dyDescent="0.25">
      <c r="C272" s="160"/>
      <c r="D272" s="160"/>
      <c r="E272" s="160"/>
      <c r="F272" s="160"/>
    </row>
    <row r="273" spans="3:6" ht="15" customHeight="1" x14ac:dyDescent="0.25">
      <c r="C273" s="160"/>
      <c r="D273" s="160"/>
      <c r="E273" s="160"/>
      <c r="F273" s="160"/>
    </row>
    <row r="274" spans="3:6" ht="15" customHeight="1" x14ac:dyDescent="0.25">
      <c r="C274" s="160"/>
      <c r="D274" s="160"/>
      <c r="E274" s="160"/>
      <c r="F274" s="160"/>
    </row>
    <row r="275" spans="3:6" ht="15" customHeight="1" x14ac:dyDescent="0.25">
      <c r="C275" s="160"/>
      <c r="D275" s="160"/>
      <c r="E275" s="160"/>
      <c r="F275" s="160"/>
    </row>
    <row r="276" spans="3:6" ht="15" customHeight="1" x14ac:dyDescent="0.25">
      <c r="C276" s="160"/>
      <c r="D276" s="160"/>
      <c r="E276" s="160"/>
      <c r="F276" s="160"/>
    </row>
    <row r="277" spans="3:6" ht="15" customHeight="1" x14ac:dyDescent="0.25">
      <c r="C277" s="160"/>
      <c r="D277" s="160"/>
      <c r="E277" s="160"/>
      <c r="F277" s="160"/>
    </row>
    <row r="278" spans="3:6" ht="15" customHeight="1" x14ac:dyDescent="0.25">
      <c r="C278" s="160"/>
      <c r="D278" s="160"/>
      <c r="E278" s="160"/>
      <c r="F278" s="160"/>
    </row>
    <row r="279" spans="3:6" ht="15" customHeight="1" x14ac:dyDescent="0.25">
      <c r="C279" s="160"/>
      <c r="D279" s="160"/>
      <c r="E279" s="160"/>
      <c r="F279" s="160"/>
    </row>
    <row r="280" spans="3:6" ht="15" customHeight="1" x14ac:dyDescent="0.25">
      <c r="C280" s="160"/>
      <c r="D280" s="160"/>
      <c r="E280" s="160"/>
      <c r="F280" s="160"/>
    </row>
    <row r="281" spans="3:6" ht="15" customHeight="1" x14ac:dyDescent="0.25">
      <c r="C281" s="160"/>
      <c r="D281" s="160"/>
      <c r="E281" s="160"/>
      <c r="F281" s="160"/>
    </row>
    <row r="282" spans="3:6" ht="15" customHeight="1" x14ac:dyDescent="0.25">
      <c r="C282" s="160"/>
      <c r="D282" s="160"/>
      <c r="E282" s="160"/>
      <c r="F282" s="160"/>
    </row>
    <row r="283" spans="3:6" ht="15" customHeight="1" x14ac:dyDescent="0.25">
      <c r="C283" s="160"/>
      <c r="D283" s="160"/>
      <c r="E283" s="160"/>
      <c r="F283" s="160"/>
    </row>
    <row r="284" spans="3:6" ht="15" customHeight="1" x14ac:dyDescent="0.25">
      <c r="C284" s="160"/>
      <c r="D284" s="160"/>
      <c r="E284" s="160"/>
      <c r="F284" s="160"/>
    </row>
    <row r="285" spans="3:6" ht="15" customHeight="1" x14ac:dyDescent="0.25">
      <c r="C285" s="160"/>
      <c r="D285" s="160"/>
      <c r="E285" s="160"/>
      <c r="F285" s="160"/>
    </row>
    <row r="286" spans="3:6" ht="15" customHeight="1" x14ac:dyDescent="0.25">
      <c r="C286" s="160"/>
      <c r="D286" s="160"/>
      <c r="E286" s="160"/>
      <c r="F286" s="160"/>
    </row>
    <row r="287" spans="3:6" ht="15" customHeight="1" x14ac:dyDescent="0.25">
      <c r="C287" s="160"/>
      <c r="D287" s="160"/>
      <c r="E287" s="160"/>
      <c r="F287" s="160"/>
    </row>
    <row r="288" spans="3:6" ht="15" customHeight="1" x14ac:dyDescent="0.25">
      <c r="C288" s="160"/>
      <c r="D288" s="160"/>
      <c r="E288" s="160"/>
      <c r="F288" s="160"/>
    </row>
    <row r="289" spans="3:6" ht="15" customHeight="1" x14ac:dyDescent="0.25">
      <c r="C289" s="160"/>
      <c r="D289" s="160"/>
      <c r="E289" s="160"/>
      <c r="F289" s="160"/>
    </row>
    <row r="290" spans="3:6" ht="15" customHeight="1" x14ac:dyDescent="0.25">
      <c r="C290" s="160"/>
      <c r="D290" s="160"/>
      <c r="E290" s="160"/>
      <c r="F290" s="160"/>
    </row>
    <row r="291" spans="3:6" ht="15" customHeight="1" x14ac:dyDescent="0.25">
      <c r="C291" s="160"/>
      <c r="D291" s="160"/>
      <c r="E291" s="160"/>
      <c r="F291" s="160"/>
    </row>
    <row r="292" spans="3:6" ht="15" customHeight="1" x14ac:dyDescent="0.25">
      <c r="C292" s="160"/>
      <c r="D292" s="160"/>
      <c r="E292" s="160"/>
      <c r="F292" s="160"/>
    </row>
    <row r="293" spans="3:6" ht="15" customHeight="1" x14ac:dyDescent="0.25">
      <c r="C293" s="160"/>
      <c r="D293" s="160"/>
      <c r="E293" s="160"/>
      <c r="F293" s="160"/>
    </row>
    <row r="294" spans="3:6" ht="15" customHeight="1" x14ac:dyDescent="0.25">
      <c r="C294" s="160"/>
      <c r="D294" s="160"/>
      <c r="E294" s="160"/>
      <c r="F294" s="160"/>
    </row>
    <row r="295" spans="3:6" ht="15" customHeight="1" x14ac:dyDescent="0.25">
      <c r="C295" s="160"/>
      <c r="D295" s="160"/>
      <c r="E295" s="160"/>
      <c r="F295" s="160"/>
    </row>
    <row r="296" spans="3:6" ht="15" customHeight="1" x14ac:dyDescent="0.25">
      <c r="C296" s="160"/>
      <c r="D296" s="160"/>
      <c r="E296" s="160"/>
      <c r="F296" s="160"/>
    </row>
    <row r="297" spans="3:6" ht="15" customHeight="1" x14ac:dyDescent="0.25">
      <c r="C297" s="160"/>
      <c r="D297" s="160"/>
      <c r="E297" s="160"/>
      <c r="F297" s="160"/>
    </row>
    <row r="298" spans="3:6" ht="15" customHeight="1" x14ac:dyDescent="0.25">
      <c r="C298" s="160"/>
      <c r="D298" s="160"/>
      <c r="E298" s="160"/>
      <c r="F298" s="160"/>
    </row>
    <row r="299" spans="3:6" ht="15" customHeight="1" x14ac:dyDescent="0.25">
      <c r="C299" s="160"/>
      <c r="D299" s="160"/>
      <c r="E299" s="160"/>
      <c r="F299" s="160"/>
    </row>
    <row r="300" spans="3:6" ht="15" customHeight="1" x14ac:dyDescent="0.25">
      <c r="C300" s="160"/>
      <c r="D300" s="160"/>
      <c r="E300" s="160"/>
      <c r="F300" s="160"/>
    </row>
    <row r="301" spans="3:6" ht="15" customHeight="1" x14ac:dyDescent="0.25">
      <c r="C301" s="160"/>
      <c r="D301" s="160"/>
      <c r="E301" s="160"/>
      <c r="F301" s="160"/>
    </row>
    <row r="302" spans="3:6" ht="15" customHeight="1" x14ac:dyDescent="0.25">
      <c r="C302" s="160"/>
      <c r="D302" s="160"/>
      <c r="E302" s="160"/>
      <c r="F302" s="160"/>
    </row>
    <row r="303" spans="3:6" ht="15" customHeight="1" x14ac:dyDescent="0.25">
      <c r="C303" s="160"/>
      <c r="D303" s="160"/>
      <c r="E303" s="160"/>
      <c r="F303" s="160"/>
    </row>
    <row r="304" spans="3:6" ht="15" customHeight="1" x14ac:dyDescent="0.25">
      <c r="C304" s="160"/>
      <c r="D304" s="160"/>
      <c r="E304" s="160"/>
      <c r="F304" s="160"/>
    </row>
    <row r="305" spans="3:6" ht="15" customHeight="1" x14ac:dyDescent="0.25">
      <c r="C305" s="160"/>
      <c r="D305" s="160"/>
      <c r="E305" s="160"/>
      <c r="F305" s="160"/>
    </row>
    <row r="306" spans="3:6" ht="15" customHeight="1" x14ac:dyDescent="0.25">
      <c r="C306" s="160"/>
      <c r="D306" s="160"/>
      <c r="E306" s="160"/>
      <c r="F306" s="160"/>
    </row>
    <row r="307" spans="3:6" ht="15" customHeight="1" x14ac:dyDescent="0.25">
      <c r="C307" s="160"/>
      <c r="D307" s="160"/>
      <c r="E307" s="160"/>
      <c r="F307" s="160"/>
    </row>
    <row r="308" spans="3:6" ht="15" customHeight="1" x14ac:dyDescent="0.25">
      <c r="C308" s="160"/>
      <c r="D308" s="160"/>
      <c r="E308" s="160"/>
      <c r="F308" s="160"/>
    </row>
    <row r="309" spans="3:6" ht="15" customHeight="1" x14ac:dyDescent="0.25">
      <c r="C309" s="160"/>
      <c r="D309" s="160"/>
      <c r="E309" s="160"/>
      <c r="F309" s="160"/>
    </row>
    <row r="310" spans="3:6" ht="15" customHeight="1" x14ac:dyDescent="0.25">
      <c r="C310" s="160"/>
      <c r="D310" s="160"/>
      <c r="E310" s="160"/>
      <c r="F310" s="160"/>
    </row>
    <row r="311" spans="3:6" ht="15" customHeight="1" x14ac:dyDescent="0.25">
      <c r="C311" s="160"/>
      <c r="D311" s="160"/>
      <c r="E311" s="160"/>
      <c r="F311" s="160"/>
    </row>
    <row r="312" spans="3:6" ht="15" customHeight="1" x14ac:dyDescent="0.25">
      <c r="C312" s="160"/>
      <c r="D312" s="160"/>
      <c r="E312" s="160"/>
      <c r="F312" s="160"/>
    </row>
    <row r="313" spans="3:6" ht="15" customHeight="1" x14ac:dyDescent="0.25">
      <c r="C313" s="160"/>
      <c r="D313" s="160"/>
      <c r="E313" s="160"/>
      <c r="F313" s="160"/>
    </row>
    <row r="314" spans="3:6" ht="15" customHeight="1" x14ac:dyDescent="0.25">
      <c r="C314" s="160"/>
      <c r="D314" s="160"/>
      <c r="E314" s="160"/>
      <c r="F314" s="160"/>
    </row>
    <row r="315" spans="3:6" ht="15" customHeight="1" x14ac:dyDescent="0.25">
      <c r="C315" s="160"/>
      <c r="D315" s="160"/>
      <c r="E315" s="160"/>
      <c r="F315" s="160"/>
    </row>
    <row r="316" spans="3:6" ht="15" customHeight="1" x14ac:dyDescent="0.25">
      <c r="C316" s="160"/>
      <c r="D316" s="160"/>
      <c r="E316" s="160"/>
      <c r="F316" s="160"/>
    </row>
    <row r="317" spans="3:6" ht="15" customHeight="1" x14ac:dyDescent="0.25">
      <c r="C317" s="160"/>
      <c r="D317" s="160"/>
      <c r="E317" s="160"/>
      <c r="F317" s="160"/>
    </row>
    <row r="318" spans="3:6" ht="15" customHeight="1" x14ac:dyDescent="0.25">
      <c r="C318" s="160"/>
      <c r="D318" s="160"/>
      <c r="E318" s="160"/>
      <c r="F318" s="160"/>
    </row>
    <row r="319" spans="3:6" ht="15" customHeight="1" x14ac:dyDescent="0.25">
      <c r="C319" s="160"/>
      <c r="D319" s="160"/>
      <c r="E319" s="160"/>
      <c r="F319" s="160"/>
    </row>
    <row r="320" spans="3:6" ht="15" customHeight="1" x14ac:dyDescent="0.25">
      <c r="C320" s="160"/>
      <c r="D320" s="160"/>
      <c r="E320" s="160"/>
      <c r="F320" s="160"/>
    </row>
    <row r="321" spans="3:6" ht="15" customHeight="1" x14ac:dyDescent="0.25">
      <c r="C321" s="160"/>
      <c r="D321" s="160"/>
      <c r="E321" s="160"/>
      <c r="F321" s="160"/>
    </row>
    <row r="322" spans="3:6" ht="15" customHeight="1" x14ac:dyDescent="0.25">
      <c r="C322" s="160"/>
      <c r="D322" s="160"/>
      <c r="E322" s="160"/>
      <c r="F322" s="160"/>
    </row>
    <row r="323" spans="3:6" ht="15" customHeight="1" x14ac:dyDescent="0.25">
      <c r="C323" s="160"/>
      <c r="D323" s="160"/>
      <c r="E323" s="160"/>
      <c r="F323" s="160"/>
    </row>
    <row r="324" spans="3:6" ht="15" customHeight="1" x14ac:dyDescent="0.25">
      <c r="C324" s="160"/>
      <c r="D324" s="160"/>
      <c r="E324" s="160"/>
      <c r="F324" s="160"/>
    </row>
    <row r="325" spans="3:6" ht="15" customHeight="1" x14ac:dyDescent="0.25">
      <c r="C325" s="160"/>
      <c r="D325" s="160"/>
      <c r="E325" s="160"/>
      <c r="F325" s="160"/>
    </row>
    <row r="326" spans="3:6" ht="15" customHeight="1" x14ac:dyDescent="0.25">
      <c r="C326" s="160"/>
      <c r="D326" s="160"/>
      <c r="E326" s="160"/>
      <c r="F326" s="160"/>
    </row>
    <row r="327" spans="3:6" ht="15" customHeight="1" x14ac:dyDescent="0.25">
      <c r="C327" s="160"/>
      <c r="D327" s="160"/>
      <c r="E327" s="160"/>
      <c r="F327" s="160"/>
    </row>
    <row r="328" spans="3:6" ht="15" customHeight="1" x14ac:dyDescent="0.25">
      <c r="C328" s="160"/>
      <c r="D328" s="160"/>
      <c r="E328" s="160"/>
      <c r="F328" s="160"/>
    </row>
    <row r="329" spans="3:6" ht="15" customHeight="1" x14ac:dyDescent="0.25">
      <c r="C329" s="160"/>
      <c r="D329" s="160"/>
      <c r="E329" s="160"/>
      <c r="F329" s="160"/>
    </row>
    <row r="330" spans="3:6" ht="15" customHeight="1" x14ac:dyDescent="0.25">
      <c r="C330" s="160"/>
      <c r="D330" s="160"/>
      <c r="E330" s="160"/>
      <c r="F330" s="160"/>
    </row>
    <row r="331" spans="3:6" ht="15" customHeight="1" x14ac:dyDescent="0.25">
      <c r="C331" s="160"/>
      <c r="D331" s="160"/>
      <c r="E331" s="160"/>
      <c r="F331" s="160"/>
    </row>
    <row r="332" spans="3:6" ht="15" customHeight="1" x14ac:dyDescent="0.25">
      <c r="C332" s="160"/>
      <c r="D332" s="160"/>
      <c r="E332" s="160"/>
      <c r="F332" s="160"/>
    </row>
    <row r="333" spans="3:6" ht="15" customHeight="1" x14ac:dyDescent="0.25">
      <c r="C333" s="160"/>
      <c r="D333" s="160"/>
      <c r="E333" s="160"/>
      <c r="F333" s="160"/>
    </row>
    <row r="334" spans="3:6" ht="15" customHeight="1" x14ac:dyDescent="0.25">
      <c r="C334" s="160"/>
      <c r="D334" s="160"/>
      <c r="E334" s="160"/>
      <c r="F334" s="160"/>
    </row>
    <row r="335" spans="3:6" ht="15" customHeight="1" x14ac:dyDescent="0.25">
      <c r="C335" s="160"/>
      <c r="D335" s="160"/>
      <c r="E335" s="160"/>
      <c r="F335" s="160"/>
    </row>
    <row r="336" spans="3:6" ht="15" customHeight="1" x14ac:dyDescent="0.25">
      <c r="C336" s="160"/>
      <c r="D336" s="160"/>
      <c r="E336" s="160"/>
      <c r="F336" s="160"/>
    </row>
    <row r="337" spans="3:6" ht="15" customHeight="1" x14ac:dyDescent="0.25">
      <c r="C337" s="160"/>
      <c r="D337" s="160"/>
      <c r="E337" s="160"/>
      <c r="F337" s="160"/>
    </row>
    <row r="338" spans="3:6" ht="15" customHeight="1" x14ac:dyDescent="0.25">
      <c r="C338" s="160"/>
      <c r="D338" s="160"/>
      <c r="E338" s="160"/>
      <c r="F338" s="160"/>
    </row>
    <row r="339" spans="3:6" ht="15" customHeight="1" x14ac:dyDescent="0.25">
      <c r="C339" s="160"/>
      <c r="D339" s="160"/>
      <c r="E339" s="160"/>
      <c r="F339" s="160"/>
    </row>
    <row r="340" spans="3:6" ht="15" customHeight="1" x14ac:dyDescent="0.25">
      <c r="C340" s="160"/>
      <c r="D340" s="160"/>
      <c r="E340" s="160"/>
      <c r="F340" s="160"/>
    </row>
    <row r="341" spans="3:6" ht="15" customHeight="1" x14ac:dyDescent="0.25">
      <c r="C341" s="160"/>
      <c r="D341" s="160"/>
      <c r="E341" s="160"/>
      <c r="F341" s="160"/>
    </row>
    <row r="342" spans="3:6" ht="15" customHeight="1" x14ac:dyDescent="0.25">
      <c r="C342" s="160"/>
      <c r="D342" s="160"/>
      <c r="E342" s="160"/>
      <c r="F342" s="160"/>
    </row>
    <row r="343" spans="3:6" ht="15" customHeight="1" x14ac:dyDescent="0.25">
      <c r="C343" s="160"/>
      <c r="D343" s="160"/>
      <c r="E343" s="160"/>
      <c r="F343" s="160"/>
    </row>
    <row r="344" spans="3:6" ht="15" customHeight="1" x14ac:dyDescent="0.25">
      <c r="C344" s="160"/>
      <c r="D344" s="160"/>
      <c r="E344" s="160"/>
      <c r="F344" s="160"/>
    </row>
    <row r="345" spans="3:6" ht="15" customHeight="1" x14ac:dyDescent="0.25">
      <c r="C345" s="160"/>
      <c r="D345" s="160"/>
      <c r="E345" s="160"/>
      <c r="F345" s="160"/>
    </row>
    <row r="346" spans="3:6" ht="15" customHeight="1" x14ac:dyDescent="0.25">
      <c r="C346" s="160"/>
      <c r="D346" s="160"/>
      <c r="E346" s="160"/>
      <c r="F346" s="160"/>
    </row>
    <row r="347" spans="3:6" ht="15" customHeight="1" x14ac:dyDescent="0.25">
      <c r="C347" s="160"/>
      <c r="D347" s="160"/>
      <c r="E347" s="160"/>
      <c r="F347" s="160"/>
    </row>
    <row r="348" spans="3:6" ht="15" customHeight="1" x14ac:dyDescent="0.25">
      <c r="C348" s="160"/>
      <c r="D348" s="160"/>
      <c r="E348" s="160"/>
      <c r="F348" s="160"/>
    </row>
    <row r="349" spans="3:6" ht="15" customHeight="1" x14ac:dyDescent="0.25">
      <c r="C349" s="160"/>
      <c r="D349" s="160"/>
      <c r="E349" s="160"/>
      <c r="F349" s="160"/>
    </row>
    <row r="350" spans="3:6" ht="15" customHeight="1" x14ac:dyDescent="0.25">
      <c r="C350" s="160"/>
      <c r="D350" s="160"/>
      <c r="E350" s="160"/>
      <c r="F350" s="160"/>
    </row>
    <row r="351" spans="3:6" ht="15" customHeight="1" x14ac:dyDescent="0.25">
      <c r="C351" s="160"/>
      <c r="D351" s="160"/>
      <c r="E351" s="160"/>
      <c r="F351" s="160"/>
    </row>
    <row r="352" spans="3:6" ht="15" customHeight="1" x14ac:dyDescent="0.25">
      <c r="C352" s="160"/>
      <c r="D352" s="160"/>
      <c r="E352" s="160"/>
      <c r="F352" s="160"/>
    </row>
    <row r="353" spans="3:6" ht="15" customHeight="1" x14ac:dyDescent="0.25">
      <c r="C353" s="160"/>
      <c r="D353" s="160"/>
      <c r="E353" s="160"/>
      <c r="F353" s="160"/>
    </row>
    <row r="354" spans="3:6" ht="15" customHeight="1" x14ac:dyDescent="0.25">
      <c r="C354" s="160"/>
      <c r="D354" s="160"/>
      <c r="E354" s="160"/>
      <c r="F354" s="160"/>
    </row>
    <row r="355" spans="3:6" ht="15" customHeight="1" x14ac:dyDescent="0.25">
      <c r="C355" s="160"/>
      <c r="D355" s="160"/>
      <c r="E355" s="160"/>
      <c r="F355" s="160"/>
    </row>
    <row r="356" spans="3:6" ht="15" customHeight="1" x14ac:dyDescent="0.25">
      <c r="C356" s="160"/>
      <c r="D356" s="160"/>
      <c r="E356" s="160"/>
      <c r="F356" s="160"/>
    </row>
    <row r="357" spans="3:6" ht="15" customHeight="1" x14ac:dyDescent="0.25">
      <c r="C357" s="160"/>
      <c r="D357" s="160"/>
      <c r="E357" s="160"/>
      <c r="F357" s="160"/>
    </row>
    <row r="358" spans="3:6" ht="15" customHeight="1" x14ac:dyDescent="0.25">
      <c r="C358" s="160"/>
      <c r="D358" s="160"/>
      <c r="E358" s="160"/>
      <c r="F358" s="160"/>
    </row>
    <row r="359" spans="3:6" ht="15" customHeight="1" x14ac:dyDescent="0.25">
      <c r="C359" s="160"/>
      <c r="D359" s="160"/>
      <c r="E359" s="160"/>
      <c r="F359" s="160"/>
    </row>
    <row r="360" spans="3:6" ht="15" customHeight="1" x14ac:dyDescent="0.25">
      <c r="C360" s="160"/>
      <c r="D360" s="160"/>
      <c r="E360" s="160"/>
      <c r="F360" s="160"/>
    </row>
    <row r="361" spans="3:6" ht="15" customHeight="1" x14ac:dyDescent="0.25">
      <c r="C361" s="160"/>
      <c r="D361" s="160"/>
      <c r="E361" s="160"/>
      <c r="F361" s="160"/>
    </row>
    <row r="362" spans="3:6" ht="15" customHeight="1" x14ac:dyDescent="0.25">
      <c r="C362" s="160"/>
      <c r="D362" s="160"/>
      <c r="E362" s="160"/>
      <c r="F362" s="160"/>
    </row>
    <row r="363" spans="3:6" ht="15" customHeight="1" x14ac:dyDescent="0.25">
      <c r="C363" s="160"/>
      <c r="D363" s="160"/>
      <c r="E363" s="160"/>
      <c r="F363" s="160"/>
    </row>
    <row r="364" spans="3:6" ht="15" customHeight="1" x14ac:dyDescent="0.25">
      <c r="C364" s="160"/>
      <c r="D364" s="160"/>
      <c r="E364" s="160"/>
      <c r="F364" s="160"/>
    </row>
    <row r="365" spans="3:6" ht="15" customHeight="1" x14ac:dyDescent="0.25">
      <c r="C365" s="160"/>
      <c r="D365" s="160"/>
      <c r="E365" s="160"/>
      <c r="F365" s="160"/>
    </row>
    <row r="366" spans="3:6" ht="15" customHeight="1" x14ac:dyDescent="0.25">
      <c r="C366" s="160"/>
      <c r="D366" s="160"/>
      <c r="E366" s="160"/>
      <c r="F366" s="160"/>
    </row>
    <row r="367" spans="3:6" ht="15" customHeight="1" x14ac:dyDescent="0.25">
      <c r="C367" s="160"/>
      <c r="D367" s="160"/>
      <c r="E367" s="160"/>
      <c r="F367" s="160"/>
    </row>
    <row r="368" spans="3:6" ht="15" customHeight="1" x14ac:dyDescent="0.25">
      <c r="C368" s="160"/>
      <c r="D368" s="160"/>
      <c r="E368" s="160"/>
      <c r="F368" s="160"/>
    </row>
    <row r="369" spans="3:6" ht="15" customHeight="1" x14ac:dyDescent="0.25">
      <c r="C369" s="160"/>
      <c r="D369" s="160"/>
      <c r="E369" s="160"/>
      <c r="F369" s="160"/>
    </row>
    <row r="370" spans="3:6" ht="15" customHeight="1" x14ac:dyDescent="0.25">
      <c r="C370" s="160"/>
      <c r="D370" s="160"/>
      <c r="E370" s="160"/>
      <c r="F370" s="160"/>
    </row>
    <row r="371" spans="3:6" ht="15" customHeight="1" x14ac:dyDescent="0.25">
      <c r="C371" s="160"/>
      <c r="D371" s="160"/>
      <c r="E371" s="160"/>
      <c r="F371" s="160"/>
    </row>
    <row r="372" spans="3:6" ht="15" customHeight="1" x14ac:dyDescent="0.25">
      <c r="C372" s="160"/>
      <c r="D372" s="160"/>
      <c r="E372" s="160"/>
      <c r="F372" s="160"/>
    </row>
    <row r="373" spans="3:6" ht="15" customHeight="1" x14ac:dyDescent="0.25">
      <c r="C373" s="160"/>
      <c r="D373" s="160"/>
      <c r="E373" s="160"/>
      <c r="F373" s="160"/>
    </row>
    <row r="374" spans="3:6" ht="15" customHeight="1" x14ac:dyDescent="0.25">
      <c r="C374" s="160"/>
      <c r="D374" s="160"/>
      <c r="E374" s="160"/>
      <c r="F374" s="160"/>
    </row>
    <row r="375" spans="3:6" ht="15" customHeight="1" x14ac:dyDescent="0.25">
      <c r="C375" s="160"/>
      <c r="D375" s="160"/>
      <c r="E375" s="160"/>
      <c r="F375" s="160"/>
    </row>
    <row r="376" spans="3:6" ht="15" customHeight="1" x14ac:dyDescent="0.25">
      <c r="C376" s="160"/>
      <c r="D376" s="160"/>
      <c r="E376" s="160"/>
      <c r="F376" s="160"/>
    </row>
    <row r="377" spans="3:6" ht="15" customHeight="1" x14ac:dyDescent="0.25">
      <c r="C377" s="160"/>
      <c r="D377" s="160"/>
      <c r="E377" s="160"/>
      <c r="F377" s="160"/>
    </row>
    <row r="378" spans="3:6" ht="15" customHeight="1" x14ac:dyDescent="0.25">
      <c r="C378" s="160"/>
      <c r="D378" s="160"/>
      <c r="E378" s="160"/>
      <c r="F378" s="160"/>
    </row>
    <row r="379" spans="3:6" ht="15" customHeight="1" x14ac:dyDescent="0.25">
      <c r="C379" s="160"/>
      <c r="D379" s="160"/>
      <c r="E379" s="160"/>
      <c r="F379" s="160"/>
    </row>
    <row r="380" spans="3:6" ht="15" customHeight="1" x14ac:dyDescent="0.25">
      <c r="C380" s="160"/>
      <c r="D380" s="160"/>
      <c r="E380" s="160"/>
      <c r="F380" s="160"/>
    </row>
    <row r="381" spans="3:6" ht="15" customHeight="1" x14ac:dyDescent="0.25">
      <c r="C381" s="160"/>
      <c r="D381" s="160"/>
      <c r="E381" s="160"/>
      <c r="F381" s="160"/>
    </row>
    <row r="382" spans="3:6" ht="15" customHeight="1" x14ac:dyDescent="0.25">
      <c r="C382" s="160"/>
      <c r="D382" s="160"/>
      <c r="E382" s="160"/>
      <c r="F382" s="160"/>
    </row>
    <row r="383" spans="3:6" ht="15" customHeight="1" x14ac:dyDescent="0.25">
      <c r="C383" s="160"/>
      <c r="D383" s="160"/>
      <c r="E383" s="160"/>
      <c r="F383" s="160"/>
    </row>
    <row r="384" spans="3:6" ht="15" customHeight="1" x14ac:dyDescent="0.25">
      <c r="C384" s="160"/>
      <c r="D384" s="160"/>
      <c r="E384" s="160"/>
      <c r="F384" s="160"/>
    </row>
    <row r="385" spans="3:6" ht="15" customHeight="1" x14ac:dyDescent="0.25">
      <c r="C385" s="160"/>
      <c r="D385" s="160"/>
      <c r="E385" s="160"/>
      <c r="F385" s="160"/>
    </row>
    <row r="386" spans="3:6" ht="15" customHeight="1" x14ac:dyDescent="0.25">
      <c r="C386" s="160"/>
      <c r="D386" s="160"/>
      <c r="E386" s="160"/>
      <c r="F386" s="160"/>
    </row>
    <row r="387" spans="3:6" ht="15" customHeight="1" x14ac:dyDescent="0.25">
      <c r="C387" s="160"/>
      <c r="D387" s="160"/>
      <c r="E387" s="160"/>
      <c r="F387" s="160"/>
    </row>
    <row r="388" spans="3:6" ht="15" customHeight="1" x14ac:dyDescent="0.25">
      <c r="C388" s="160"/>
      <c r="D388" s="160"/>
      <c r="E388" s="160"/>
      <c r="F388" s="160"/>
    </row>
    <row r="389" spans="3:6" ht="15" customHeight="1" x14ac:dyDescent="0.25">
      <c r="C389" s="160"/>
      <c r="D389" s="160"/>
      <c r="E389" s="160"/>
      <c r="F389" s="160"/>
    </row>
    <row r="390" spans="3:6" ht="15" customHeight="1" x14ac:dyDescent="0.25">
      <c r="C390" s="160"/>
      <c r="D390" s="160"/>
      <c r="E390" s="160"/>
      <c r="F390" s="160"/>
    </row>
    <row r="391" spans="3:6" ht="15" customHeight="1" x14ac:dyDescent="0.25">
      <c r="C391" s="160"/>
      <c r="D391" s="160"/>
      <c r="E391" s="160"/>
      <c r="F391" s="160"/>
    </row>
    <row r="392" spans="3:6" ht="15" customHeight="1" x14ac:dyDescent="0.25">
      <c r="C392" s="160"/>
      <c r="D392" s="160"/>
      <c r="E392" s="160"/>
      <c r="F392" s="160"/>
    </row>
    <row r="393" spans="3:6" ht="15" customHeight="1" x14ac:dyDescent="0.25">
      <c r="C393" s="160"/>
      <c r="D393" s="160"/>
      <c r="E393" s="160"/>
      <c r="F393" s="160"/>
    </row>
    <row r="394" spans="3:6" ht="15" customHeight="1" x14ac:dyDescent="0.25">
      <c r="C394" s="160"/>
      <c r="D394" s="160"/>
      <c r="E394" s="160"/>
      <c r="F394" s="160"/>
    </row>
    <row r="395" spans="3:6" ht="15" customHeight="1" x14ac:dyDescent="0.25">
      <c r="C395" s="160"/>
      <c r="D395" s="160"/>
      <c r="E395" s="160"/>
      <c r="F395" s="160"/>
    </row>
    <row r="396" spans="3:6" ht="15" customHeight="1" x14ac:dyDescent="0.25">
      <c r="C396" s="160"/>
      <c r="D396" s="160"/>
      <c r="E396" s="160"/>
      <c r="F396" s="160"/>
    </row>
    <row r="397" spans="3:6" ht="15" customHeight="1" x14ac:dyDescent="0.25">
      <c r="C397" s="160"/>
      <c r="D397" s="160"/>
      <c r="E397" s="160"/>
      <c r="F397" s="160"/>
    </row>
    <row r="398" spans="3:6" ht="15" customHeight="1" x14ac:dyDescent="0.25">
      <c r="C398" s="160"/>
      <c r="D398" s="160"/>
      <c r="E398" s="160"/>
      <c r="F398" s="160"/>
    </row>
    <row r="399" spans="3:6" ht="15" customHeight="1" x14ac:dyDescent="0.25">
      <c r="C399" s="160"/>
      <c r="D399" s="160"/>
      <c r="E399" s="160"/>
      <c r="F399" s="160"/>
    </row>
    <row r="400" spans="3:6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160"/>
    </row>
    <row r="885" spans="3:6" ht="15" customHeight="1" x14ac:dyDescent="0.25">
      <c r="C885" s="160"/>
      <c r="D885" s="160"/>
      <c r="E885" s="160"/>
      <c r="F885" s="160"/>
    </row>
    <row r="886" spans="3:6" ht="15" customHeight="1" x14ac:dyDescent="0.25">
      <c r="C886" s="160"/>
      <c r="D886" s="160"/>
      <c r="E886" s="160"/>
      <c r="F886" s="160"/>
    </row>
    <row r="887" spans="3:6" ht="15" customHeight="1" x14ac:dyDescent="0.25">
      <c r="C887" s="160"/>
      <c r="D887" s="160"/>
      <c r="E887" s="160"/>
      <c r="F887" s="160"/>
    </row>
    <row r="888" spans="3:6" ht="15" customHeight="1" x14ac:dyDescent="0.25">
      <c r="C888" s="160"/>
      <c r="D888" s="160"/>
      <c r="E888" s="160"/>
      <c r="F888" s="160"/>
    </row>
    <row r="889" spans="3:6" ht="15" customHeight="1" x14ac:dyDescent="0.25">
      <c r="C889" s="160"/>
      <c r="D889" s="160"/>
      <c r="E889" s="160"/>
      <c r="F889" s="160"/>
    </row>
    <row r="890" spans="3:6" ht="15" customHeight="1" x14ac:dyDescent="0.25">
      <c r="C890" s="160"/>
      <c r="D890" s="160"/>
      <c r="E890" s="160"/>
      <c r="F890" s="160"/>
    </row>
    <row r="891" spans="3:6" ht="15" customHeight="1" x14ac:dyDescent="0.25">
      <c r="C891" s="160"/>
      <c r="D891" s="160"/>
      <c r="E891" s="160"/>
      <c r="F891" s="160"/>
    </row>
    <row r="892" spans="3:6" ht="15" customHeight="1" x14ac:dyDescent="0.25">
      <c r="C892" s="160"/>
      <c r="D892" s="160"/>
      <c r="E892" s="160"/>
      <c r="F892" s="160"/>
    </row>
    <row r="893" spans="3:6" ht="15" customHeight="1" x14ac:dyDescent="0.25">
      <c r="C893" s="160"/>
      <c r="D893" s="160"/>
      <c r="E893" s="160"/>
      <c r="F893" s="160"/>
    </row>
    <row r="894" spans="3:6" ht="15" customHeight="1" x14ac:dyDescent="0.25">
      <c r="C894" s="160"/>
      <c r="D894" s="160"/>
      <c r="E894" s="160"/>
      <c r="F894" s="160"/>
    </row>
    <row r="895" spans="3:6" ht="15" customHeight="1" x14ac:dyDescent="0.25">
      <c r="C895" s="160"/>
      <c r="D895" s="160"/>
      <c r="E895" s="160"/>
      <c r="F895" s="160"/>
    </row>
    <row r="896" spans="3:6" ht="15" customHeight="1" x14ac:dyDescent="0.25">
      <c r="C896" s="160"/>
      <c r="D896" s="160"/>
      <c r="E896" s="160"/>
      <c r="F896" s="160"/>
    </row>
    <row r="897" spans="3:6" ht="15" customHeight="1" x14ac:dyDescent="0.25">
      <c r="C897" s="160"/>
      <c r="D897" s="160"/>
      <c r="E897" s="160"/>
      <c r="F897" s="160"/>
    </row>
    <row r="898" spans="3:6" ht="15" customHeight="1" x14ac:dyDescent="0.25">
      <c r="C898" s="160"/>
      <c r="D898" s="160"/>
      <c r="E898" s="160"/>
      <c r="F898" s="160"/>
    </row>
    <row r="899" spans="3:6" ht="15" customHeight="1" x14ac:dyDescent="0.25">
      <c r="C899" s="160"/>
      <c r="D899" s="160"/>
      <c r="E899" s="160"/>
      <c r="F899" s="160"/>
    </row>
    <row r="900" spans="3:6" ht="15" customHeight="1" x14ac:dyDescent="0.25">
      <c r="C900" s="160"/>
      <c r="D900" s="160"/>
      <c r="E900" s="160"/>
      <c r="F900" s="160"/>
    </row>
    <row r="901" spans="3:6" ht="15" customHeight="1" x14ac:dyDescent="0.25">
      <c r="C901" s="160"/>
      <c r="D901" s="160"/>
      <c r="E901" s="160"/>
      <c r="F901" s="160"/>
    </row>
    <row r="902" spans="3:6" ht="15" customHeight="1" x14ac:dyDescent="0.25">
      <c r="C902" s="160"/>
      <c r="D902" s="160"/>
      <c r="E902" s="160"/>
      <c r="F902" s="160"/>
    </row>
    <row r="903" spans="3:6" ht="15" customHeight="1" x14ac:dyDescent="0.25">
      <c r="C903" s="160"/>
      <c r="D903" s="160"/>
      <c r="E903" s="160"/>
      <c r="F903" s="160"/>
    </row>
    <row r="904" spans="3:6" ht="15" customHeight="1" x14ac:dyDescent="0.25">
      <c r="C904" s="160"/>
      <c r="D904" s="160"/>
      <c r="E904" s="160"/>
      <c r="F904" s="160"/>
    </row>
    <row r="905" spans="3:6" ht="15" customHeight="1" x14ac:dyDescent="0.25">
      <c r="C905" s="160"/>
      <c r="D905" s="160"/>
      <c r="E905" s="160"/>
      <c r="F905" s="160"/>
    </row>
    <row r="906" spans="3:6" ht="15" customHeight="1" x14ac:dyDescent="0.25">
      <c r="C906" s="160"/>
      <c r="D906" s="160"/>
      <c r="E906" s="160"/>
      <c r="F906" s="160"/>
    </row>
    <row r="907" spans="3:6" ht="15" customHeight="1" x14ac:dyDescent="0.25">
      <c r="C907" s="160"/>
      <c r="D907" s="160"/>
      <c r="E907" s="160"/>
      <c r="F907" s="160"/>
    </row>
    <row r="908" spans="3:6" ht="15" customHeight="1" x14ac:dyDescent="0.25">
      <c r="C908" s="160"/>
      <c r="D908" s="160"/>
      <c r="E908" s="160"/>
      <c r="F908" s="160"/>
    </row>
    <row r="909" spans="3:6" ht="15" customHeight="1" x14ac:dyDescent="0.25">
      <c r="C909" s="160"/>
      <c r="D909" s="160"/>
      <c r="E909" s="160"/>
      <c r="F909" s="160"/>
    </row>
    <row r="910" spans="3:6" ht="15" customHeight="1" x14ac:dyDescent="0.25">
      <c r="C910" s="160"/>
      <c r="D910" s="160"/>
      <c r="E910" s="160"/>
      <c r="F910" s="160"/>
    </row>
    <row r="911" spans="3:6" ht="15" customHeight="1" x14ac:dyDescent="0.25">
      <c r="C911" s="160"/>
      <c r="D911" s="160"/>
      <c r="E911" s="160"/>
      <c r="F911" s="160"/>
    </row>
    <row r="912" spans="3:6" ht="15" customHeight="1" x14ac:dyDescent="0.25">
      <c r="C912" s="160"/>
      <c r="D912" s="160"/>
      <c r="E912" s="160"/>
      <c r="F912" s="160"/>
    </row>
    <row r="913" spans="3:6" ht="15" customHeight="1" x14ac:dyDescent="0.25">
      <c r="C913" s="160"/>
      <c r="D913" s="160"/>
      <c r="E913" s="160"/>
      <c r="F913" s="160"/>
    </row>
    <row r="914" spans="3:6" ht="15" customHeight="1" x14ac:dyDescent="0.25">
      <c r="C914" s="160"/>
      <c r="D914" s="160"/>
      <c r="E914" s="160"/>
      <c r="F914" s="160"/>
    </row>
    <row r="915" spans="3:6" ht="15" customHeight="1" x14ac:dyDescent="0.25">
      <c r="C915" s="160"/>
      <c r="D915" s="160"/>
      <c r="E915" s="160"/>
      <c r="F915" s="160"/>
    </row>
    <row r="916" spans="3:6" ht="15" customHeight="1" x14ac:dyDescent="0.25">
      <c r="C916" s="160"/>
      <c r="D916" s="160"/>
      <c r="E916" s="160"/>
      <c r="F916" s="160"/>
    </row>
    <row r="917" spans="3:6" ht="15" customHeight="1" x14ac:dyDescent="0.25">
      <c r="C917" s="160"/>
      <c r="D917" s="160"/>
      <c r="E917" s="160"/>
      <c r="F917" s="160"/>
    </row>
    <row r="918" spans="3:6" ht="15" customHeight="1" x14ac:dyDescent="0.25">
      <c r="C918" s="160"/>
      <c r="D918" s="160"/>
      <c r="E918" s="160"/>
      <c r="F918" s="160"/>
    </row>
    <row r="919" spans="3:6" ht="15" customHeight="1" x14ac:dyDescent="0.25">
      <c r="C919" s="160"/>
      <c r="D919" s="160"/>
      <c r="E919" s="160"/>
      <c r="F919" s="160"/>
    </row>
    <row r="920" spans="3:6" ht="15" customHeight="1" x14ac:dyDescent="0.25">
      <c r="C920" s="160"/>
      <c r="D920" s="160"/>
      <c r="E920" s="160"/>
      <c r="F920" s="160"/>
    </row>
    <row r="921" spans="3:6" ht="15" customHeight="1" x14ac:dyDescent="0.25">
      <c r="C921" s="160"/>
      <c r="D921" s="160"/>
      <c r="E921" s="160"/>
      <c r="F921" s="160"/>
    </row>
    <row r="922" spans="3:6" ht="15" customHeight="1" x14ac:dyDescent="0.25">
      <c r="C922" s="160"/>
      <c r="D922" s="160"/>
      <c r="E922" s="160"/>
      <c r="F922" s="160"/>
    </row>
    <row r="923" spans="3:6" ht="15" customHeight="1" x14ac:dyDescent="0.25">
      <c r="C923" s="160"/>
      <c r="D923" s="160"/>
      <c r="E923" s="160"/>
      <c r="F923" s="160"/>
    </row>
    <row r="924" spans="3:6" ht="15" customHeight="1" x14ac:dyDescent="0.25">
      <c r="C924" s="160"/>
      <c r="D924" s="160"/>
      <c r="E924" s="160"/>
      <c r="F924" s="160"/>
    </row>
    <row r="925" spans="3:6" ht="15" customHeight="1" x14ac:dyDescent="0.25">
      <c r="C925" s="160"/>
      <c r="D925" s="160"/>
      <c r="E925" s="160"/>
      <c r="F925" s="160"/>
    </row>
    <row r="926" spans="3:6" ht="15" customHeight="1" x14ac:dyDescent="0.25">
      <c r="C926" s="160"/>
      <c r="D926" s="160"/>
      <c r="E926" s="160"/>
      <c r="F926" s="160"/>
    </row>
    <row r="927" spans="3:6" ht="15" customHeight="1" x14ac:dyDescent="0.25">
      <c r="C927" s="160"/>
      <c r="D927" s="160"/>
      <c r="E927" s="160"/>
      <c r="F927" s="160"/>
    </row>
    <row r="928" spans="3:6" ht="15" customHeight="1" x14ac:dyDescent="0.25">
      <c r="C928" s="160"/>
      <c r="D928" s="160"/>
      <c r="E928" s="160"/>
      <c r="F928" s="160"/>
    </row>
    <row r="929" spans="3:6" ht="15" customHeight="1" x14ac:dyDescent="0.25">
      <c r="C929" s="160"/>
      <c r="D929" s="160"/>
      <c r="E929" s="160"/>
      <c r="F929" s="160"/>
    </row>
    <row r="930" spans="3:6" ht="15" customHeight="1" x14ac:dyDescent="0.25">
      <c r="C930" s="160"/>
      <c r="D930" s="160"/>
      <c r="E930" s="160"/>
      <c r="F930" s="160"/>
    </row>
    <row r="931" spans="3:6" ht="15" customHeight="1" x14ac:dyDescent="0.25">
      <c r="C931" s="160"/>
      <c r="D931" s="160"/>
      <c r="E931" s="160"/>
      <c r="F931" s="160"/>
    </row>
    <row r="932" spans="3:6" ht="15" customHeight="1" x14ac:dyDescent="0.25">
      <c r="C932" s="160"/>
      <c r="D932" s="160"/>
      <c r="E932" s="160"/>
      <c r="F932" s="160"/>
    </row>
    <row r="933" spans="3:6" ht="15" customHeight="1" x14ac:dyDescent="0.25">
      <c r="C933" s="160"/>
      <c r="D933" s="160"/>
      <c r="E933" s="160"/>
      <c r="F933" s="160"/>
    </row>
    <row r="934" spans="3:6" ht="15" customHeight="1" x14ac:dyDescent="0.25">
      <c r="C934" s="160"/>
      <c r="D934" s="160"/>
      <c r="E934" s="160"/>
      <c r="F934" s="160"/>
    </row>
    <row r="935" spans="3:6" ht="15" customHeight="1" x14ac:dyDescent="0.25">
      <c r="C935" s="160"/>
      <c r="D935" s="160"/>
      <c r="E935" s="160"/>
      <c r="F935" s="160"/>
    </row>
    <row r="936" spans="3:6" ht="15" customHeight="1" x14ac:dyDescent="0.25">
      <c r="C936" s="160"/>
      <c r="D936" s="160"/>
      <c r="E936" s="160"/>
      <c r="F936" s="160"/>
    </row>
    <row r="937" spans="3:6" ht="15" customHeight="1" x14ac:dyDescent="0.25">
      <c r="C937" s="160"/>
      <c r="D937" s="160"/>
      <c r="E937" s="160"/>
      <c r="F937" s="160"/>
    </row>
    <row r="938" spans="3:6" ht="15" customHeight="1" x14ac:dyDescent="0.25">
      <c r="C938" s="160"/>
      <c r="D938" s="160"/>
      <c r="E938" s="160"/>
      <c r="F938" s="160"/>
    </row>
    <row r="939" spans="3:6" ht="15" customHeight="1" x14ac:dyDescent="0.25">
      <c r="C939" s="160"/>
      <c r="D939" s="160"/>
      <c r="E939" s="160"/>
      <c r="F939" s="160"/>
    </row>
    <row r="940" spans="3:6" ht="15" customHeight="1" x14ac:dyDescent="0.25">
      <c r="C940" s="160"/>
      <c r="D940" s="160"/>
      <c r="E940" s="160"/>
      <c r="F940" s="160"/>
    </row>
    <row r="941" spans="3:6" ht="15" customHeight="1" x14ac:dyDescent="0.25">
      <c r="C941" s="160"/>
      <c r="D941" s="160"/>
      <c r="E941" s="160"/>
      <c r="F941" s="160"/>
    </row>
    <row r="942" spans="3:6" ht="15" customHeight="1" x14ac:dyDescent="0.25">
      <c r="C942" s="160"/>
      <c r="D942" s="160"/>
      <c r="E942" s="160"/>
      <c r="F942" s="160"/>
    </row>
    <row r="943" spans="3:6" ht="15" customHeight="1" x14ac:dyDescent="0.25">
      <c r="C943" s="160"/>
      <c r="D943" s="160"/>
      <c r="E943" s="160"/>
      <c r="F943" s="160"/>
    </row>
    <row r="944" spans="3:6" ht="15" customHeight="1" x14ac:dyDescent="0.25">
      <c r="C944" s="160"/>
      <c r="D944" s="160"/>
      <c r="E944" s="160"/>
      <c r="F944" s="160"/>
    </row>
    <row r="945" spans="3:6" ht="15" customHeight="1" x14ac:dyDescent="0.25">
      <c r="C945" s="160"/>
      <c r="D945" s="160"/>
      <c r="E945" s="160"/>
      <c r="F945" s="160"/>
    </row>
    <row r="946" spans="3:6" ht="15" customHeight="1" x14ac:dyDescent="0.25">
      <c r="C946" s="160"/>
      <c r="D946" s="160"/>
      <c r="E946" s="160"/>
      <c r="F946" s="160"/>
    </row>
    <row r="947" spans="3:6" ht="15" customHeight="1" x14ac:dyDescent="0.25">
      <c r="C947" s="160"/>
      <c r="D947" s="160"/>
      <c r="E947" s="160"/>
      <c r="F947" s="160"/>
    </row>
    <row r="948" spans="3:6" ht="15" customHeight="1" x14ac:dyDescent="0.25">
      <c r="C948" s="160"/>
      <c r="D948" s="160"/>
      <c r="E948" s="160"/>
      <c r="F948" s="160"/>
    </row>
    <row r="949" spans="3:6" ht="15" customHeight="1" x14ac:dyDescent="0.25">
      <c r="C949" s="160"/>
      <c r="D949" s="160"/>
      <c r="E949" s="160"/>
      <c r="F949" s="160"/>
    </row>
    <row r="950" spans="3:6" ht="15" customHeight="1" x14ac:dyDescent="0.25">
      <c r="C950" s="160"/>
      <c r="D950" s="160"/>
      <c r="E950" s="160"/>
      <c r="F950" s="160"/>
    </row>
    <row r="951" spans="3:6" ht="15" customHeight="1" x14ac:dyDescent="0.25">
      <c r="C951" s="160"/>
      <c r="D951" s="160"/>
      <c r="E951" s="160"/>
      <c r="F951" s="160"/>
    </row>
    <row r="952" spans="3:6" ht="15" customHeight="1" x14ac:dyDescent="0.25">
      <c r="C952" s="160"/>
      <c r="D952" s="160"/>
      <c r="E952" s="160"/>
      <c r="F952" s="160"/>
    </row>
    <row r="953" spans="3:6" ht="15" customHeight="1" x14ac:dyDescent="0.25">
      <c r="C953" s="160"/>
      <c r="D953" s="160"/>
      <c r="E953" s="160"/>
      <c r="F953" s="160"/>
    </row>
    <row r="954" spans="3:6" ht="15" customHeight="1" x14ac:dyDescent="0.25">
      <c r="C954" s="160"/>
      <c r="D954" s="160"/>
      <c r="E954" s="160"/>
      <c r="F954" s="160"/>
    </row>
    <row r="955" spans="3:6" ht="15" customHeight="1" x14ac:dyDescent="0.25">
      <c r="C955" s="160"/>
      <c r="D955" s="160"/>
      <c r="E955" s="160"/>
      <c r="F955" s="160"/>
    </row>
    <row r="956" spans="3:6" ht="15" customHeight="1" x14ac:dyDescent="0.25">
      <c r="C956" s="160"/>
      <c r="D956" s="160"/>
      <c r="E956" s="160"/>
      <c r="F956" s="160"/>
    </row>
    <row r="957" spans="3:6" ht="15" customHeight="1" x14ac:dyDescent="0.25">
      <c r="C957" s="160"/>
      <c r="D957" s="160"/>
      <c r="E957" s="160"/>
      <c r="F957" s="160"/>
    </row>
    <row r="958" spans="3:6" ht="15" customHeight="1" x14ac:dyDescent="0.25">
      <c r="C958" s="160"/>
      <c r="D958" s="160"/>
      <c r="E958" s="160"/>
      <c r="F958" s="160"/>
    </row>
    <row r="959" spans="3:6" ht="15" customHeight="1" x14ac:dyDescent="0.25">
      <c r="C959" s="160"/>
      <c r="D959" s="160"/>
      <c r="E959" s="160"/>
      <c r="F959" s="160"/>
    </row>
    <row r="960" spans="3:6" ht="15" customHeight="1" x14ac:dyDescent="0.25">
      <c r="C960" s="160"/>
      <c r="D960" s="160"/>
      <c r="E960" s="160"/>
      <c r="F960" s="160"/>
    </row>
    <row r="961" spans="3:6" ht="15" customHeight="1" x14ac:dyDescent="0.25">
      <c r="C961" s="160"/>
      <c r="D961" s="160"/>
      <c r="E961" s="160"/>
      <c r="F961" s="160"/>
    </row>
    <row r="962" spans="3:6" ht="15" customHeight="1" x14ac:dyDescent="0.25">
      <c r="C962" s="160"/>
      <c r="D962" s="160"/>
      <c r="E962" s="160"/>
      <c r="F962" s="160"/>
    </row>
    <row r="963" spans="3:6" ht="15" customHeight="1" x14ac:dyDescent="0.25">
      <c r="C963" s="160"/>
      <c r="D963" s="160"/>
      <c r="E963" s="160"/>
      <c r="F963" s="160"/>
    </row>
    <row r="964" spans="3:6" ht="15" customHeight="1" x14ac:dyDescent="0.25">
      <c r="C964" s="160"/>
      <c r="D964" s="160"/>
      <c r="E964" s="160"/>
      <c r="F964" s="160"/>
    </row>
    <row r="965" spans="3:6" ht="15" customHeight="1" x14ac:dyDescent="0.25">
      <c r="C965" s="160"/>
      <c r="D965" s="160"/>
      <c r="E965" s="160"/>
      <c r="F965" s="160"/>
    </row>
    <row r="966" spans="3:6" ht="15" customHeight="1" x14ac:dyDescent="0.25">
      <c r="C966" s="160"/>
      <c r="D966" s="160"/>
      <c r="E966" s="160"/>
      <c r="F966" s="160"/>
    </row>
    <row r="967" spans="3:6" ht="15" customHeight="1" x14ac:dyDescent="0.25">
      <c r="C967" s="160"/>
      <c r="D967" s="160"/>
      <c r="E967" s="160"/>
      <c r="F967" s="160"/>
    </row>
    <row r="968" spans="3:6" ht="15" customHeight="1" x14ac:dyDescent="0.25">
      <c r="C968" s="160"/>
      <c r="D968" s="160"/>
      <c r="E968" s="160"/>
      <c r="F968" s="160"/>
    </row>
    <row r="969" spans="3:6" ht="15" customHeight="1" x14ac:dyDescent="0.25">
      <c r="C969" s="160"/>
      <c r="D969" s="160"/>
      <c r="E969" s="160"/>
      <c r="F969" s="160"/>
    </row>
    <row r="970" spans="3:6" ht="15" customHeight="1" x14ac:dyDescent="0.25">
      <c r="C970" s="160"/>
      <c r="D970" s="160"/>
      <c r="E970" s="160"/>
      <c r="F970" s="160"/>
    </row>
    <row r="971" spans="3:6" ht="15" customHeight="1" x14ac:dyDescent="0.25">
      <c r="C971" s="160"/>
      <c r="D971" s="160"/>
      <c r="E971" s="160"/>
      <c r="F971" s="160"/>
    </row>
    <row r="972" spans="3:6" ht="15" customHeight="1" x14ac:dyDescent="0.25">
      <c r="C972" s="160"/>
      <c r="D972" s="160"/>
      <c r="E972" s="160"/>
      <c r="F972" s="160"/>
    </row>
    <row r="973" spans="3:6" ht="15" customHeight="1" x14ac:dyDescent="0.25">
      <c r="C973" s="160"/>
      <c r="D973" s="160"/>
      <c r="E973" s="160"/>
      <c r="F973" s="160"/>
    </row>
    <row r="974" spans="3:6" ht="15" customHeight="1" x14ac:dyDescent="0.25">
      <c r="C974" s="160"/>
      <c r="D974" s="160"/>
      <c r="E974" s="160"/>
      <c r="F974" s="160"/>
    </row>
    <row r="975" spans="3:6" ht="15" customHeight="1" x14ac:dyDescent="0.25">
      <c r="C975" s="160"/>
      <c r="D975" s="160"/>
      <c r="E975" s="160"/>
      <c r="F975" s="160"/>
    </row>
    <row r="976" spans="3:6" ht="15" customHeight="1" x14ac:dyDescent="0.25">
      <c r="C976" s="160"/>
      <c r="D976" s="160"/>
      <c r="E976" s="160"/>
      <c r="F976" s="160"/>
    </row>
    <row r="977" spans="3:6" ht="15" customHeight="1" x14ac:dyDescent="0.25">
      <c r="C977" s="160"/>
      <c r="D977" s="160"/>
      <c r="E977" s="160"/>
      <c r="F977" s="160"/>
    </row>
    <row r="978" spans="3:6" ht="15" customHeight="1" x14ac:dyDescent="0.25">
      <c r="C978" s="160"/>
      <c r="D978" s="160"/>
      <c r="E978" s="160"/>
      <c r="F978" s="160"/>
    </row>
    <row r="979" spans="3:6" ht="15" customHeight="1" x14ac:dyDescent="0.25">
      <c r="C979" s="160"/>
      <c r="D979" s="160"/>
      <c r="E979" s="160"/>
      <c r="F979" s="160"/>
    </row>
    <row r="980" spans="3:6" ht="15" customHeight="1" x14ac:dyDescent="0.25">
      <c r="C980" s="160"/>
      <c r="D980" s="160"/>
      <c r="E980" s="160"/>
      <c r="F980" s="160"/>
    </row>
    <row r="981" spans="3:6" ht="15" customHeight="1" x14ac:dyDescent="0.25">
      <c r="C981" s="160"/>
      <c r="D981" s="160"/>
      <c r="E981" s="160"/>
      <c r="F981" s="160"/>
    </row>
    <row r="982" spans="3:6" ht="15" customHeight="1" x14ac:dyDescent="0.25">
      <c r="C982" s="160"/>
      <c r="D982" s="160"/>
      <c r="E982" s="160"/>
      <c r="F982" s="160"/>
    </row>
    <row r="983" spans="3:6" ht="15" customHeight="1" x14ac:dyDescent="0.25">
      <c r="C983" s="160"/>
      <c r="D983" s="160"/>
      <c r="E983" s="160"/>
      <c r="F983" s="160"/>
    </row>
    <row r="984" spans="3:6" ht="15" customHeight="1" x14ac:dyDescent="0.25">
      <c r="C984" s="160"/>
      <c r="D984" s="160"/>
      <c r="E984" s="160"/>
      <c r="F984" s="160"/>
    </row>
    <row r="985" spans="3:6" ht="15" customHeight="1" x14ac:dyDescent="0.25">
      <c r="C985" s="160"/>
      <c r="D985" s="160"/>
      <c r="E985" s="160"/>
      <c r="F985" s="160"/>
    </row>
    <row r="986" spans="3:6" ht="15" customHeight="1" x14ac:dyDescent="0.25">
      <c r="C986" s="160"/>
      <c r="D986" s="160"/>
      <c r="E986" s="160"/>
      <c r="F986" s="160"/>
    </row>
    <row r="987" spans="3:6" ht="15" customHeight="1" x14ac:dyDescent="0.25">
      <c r="C987" s="160"/>
      <c r="D987" s="160"/>
      <c r="E987" s="160"/>
      <c r="F987" s="160"/>
    </row>
    <row r="988" spans="3:6" ht="15" customHeight="1" x14ac:dyDescent="0.25">
      <c r="C988" s="160"/>
      <c r="D988" s="160"/>
      <c r="E988" s="160"/>
      <c r="F988" s="160"/>
    </row>
    <row r="989" spans="3:6" ht="15" customHeight="1" x14ac:dyDescent="0.25">
      <c r="C989" s="160"/>
      <c r="D989" s="160"/>
      <c r="E989" s="160"/>
      <c r="F989" s="160"/>
    </row>
    <row r="990" spans="3:6" ht="15" customHeight="1" x14ac:dyDescent="0.25">
      <c r="C990" s="160"/>
      <c r="D990" s="160"/>
      <c r="E990" s="160"/>
      <c r="F990" s="160"/>
    </row>
    <row r="991" spans="3:6" ht="15" customHeight="1" x14ac:dyDescent="0.25">
      <c r="C991" s="160"/>
      <c r="D991" s="160"/>
      <c r="E991" s="160"/>
      <c r="F991" s="160"/>
    </row>
    <row r="992" spans="3:6" ht="15" customHeight="1" x14ac:dyDescent="0.25">
      <c r="C992" s="160"/>
      <c r="D992" s="160"/>
      <c r="E992" s="160"/>
      <c r="F992" s="160"/>
    </row>
    <row r="993" spans="3:6" ht="15" customHeight="1" x14ac:dyDescent="0.25">
      <c r="C993" s="160"/>
      <c r="D993" s="160"/>
      <c r="E993" s="160"/>
      <c r="F993" s="160"/>
    </row>
    <row r="994" spans="3:6" ht="15" customHeight="1" x14ac:dyDescent="0.25">
      <c r="C994" s="160"/>
      <c r="D994" s="160"/>
      <c r="E994" s="160"/>
      <c r="F994" s="160"/>
    </row>
    <row r="995" spans="3:6" ht="15" customHeight="1" x14ac:dyDescent="0.25">
      <c r="C995" s="160"/>
      <c r="D995" s="160"/>
      <c r="E995" s="160"/>
      <c r="F995" s="160"/>
    </row>
    <row r="996" spans="3:6" ht="15" customHeight="1" x14ac:dyDescent="0.25">
      <c r="C996" s="160"/>
      <c r="D996" s="160"/>
      <c r="E996" s="160"/>
      <c r="F996" s="160"/>
    </row>
    <row r="997" spans="3:6" ht="15" customHeight="1" x14ac:dyDescent="0.25">
      <c r="C997" s="160"/>
      <c r="D997" s="160"/>
      <c r="E997" s="160"/>
      <c r="F997" s="160"/>
    </row>
    <row r="998" spans="3:6" ht="15" customHeight="1" x14ac:dyDescent="0.25">
      <c r="C998" s="160"/>
      <c r="D998" s="160"/>
      <c r="E998" s="160"/>
      <c r="F998" s="160"/>
    </row>
    <row r="999" spans="3:6" ht="15" customHeight="1" x14ac:dyDescent="0.25">
      <c r="C999" s="160"/>
      <c r="D999" s="160"/>
      <c r="E999" s="160"/>
      <c r="F999" s="160"/>
    </row>
    <row r="1000" spans="3:6" ht="15" customHeight="1" x14ac:dyDescent="0.25">
      <c r="C1000" s="160"/>
      <c r="D1000" s="160"/>
      <c r="E1000" s="160"/>
      <c r="F1000" s="160"/>
    </row>
    <row r="1001" spans="3:6" ht="15" customHeight="1" x14ac:dyDescent="0.25">
      <c r="F1001" s="77"/>
    </row>
    <row r="1002" spans="3:6" ht="15" customHeight="1" x14ac:dyDescent="0.25">
      <c r="F1002" s="77"/>
    </row>
    <row r="1003" spans="3:6" ht="15" customHeight="1" x14ac:dyDescent="0.25">
      <c r="F1003" s="77"/>
    </row>
    <row r="1004" spans="3:6" ht="15" customHeight="1" x14ac:dyDescent="0.25">
      <c r="F1004" s="77"/>
    </row>
    <row r="1005" spans="3:6" ht="15" customHeight="1" x14ac:dyDescent="0.25">
      <c r="F1005" s="77"/>
    </row>
  </sheetData>
  <sheetProtection algorithmName="SHA-512" hashValue="iGG9DyA4aKziiBXyuzR5H+3Le/gXKTmAOnsVy4M4VF9pE2YLf0DrJ3XBJFXdRZoEhCcoa5KD8p1z2xrVYQ+dzA==" saltValue="PKpKMxv528t7oQ/gWgk47w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18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28.7109375" customWidth="1"/>
    <col min="2" max="2" width="84" bestFit="1" customWidth="1"/>
    <col min="3" max="3" width="15.7109375" style="249" customWidth="1"/>
    <col min="4" max="4" width="15.7109375" style="197" customWidth="1"/>
    <col min="5" max="5" width="15.7109375" style="178" customWidth="1"/>
    <col min="6" max="6" width="15.7109375" style="120" customWidth="1"/>
    <col min="7" max="7" width="15.7109375" style="37" customWidth="1"/>
    <col min="8" max="8" width="15.7109375" style="36" customWidth="1"/>
    <col min="9" max="9" width="60.28515625" customWidth="1"/>
    <col min="10" max="16384" width="0" style="10" hidden="1"/>
  </cols>
  <sheetData>
    <row r="1" spans="1:15" ht="15" customHeight="1" x14ac:dyDescent="0.25">
      <c r="A1" s="17" t="s">
        <v>29</v>
      </c>
      <c r="B1" s="3"/>
      <c r="C1" s="3"/>
      <c r="D1" s="3"/>
      <c r="E1" s="3"/>
      <c r="F1" s="3"/>
    </row>
    <row r="2" spans="1:15" ht="15" customHeight="1" x14ac:dyDescent="0.25">
      <c r="A2" s="18"/>
      <c r="B2" s="344" t="s">
        <v>14</v>
      </c>
      <c r="C2" s="344"/>
      <c r="D2" s="344"/>
      <c r="E2" s="344"/>
      <c r="F2" s="344"/>
      <c r="G2" s="344"/>
      <c r="H2" s="344"/>
      <c r="I2" s="344"/>
    </row>
    <row r="3" spans="1:15" ht="15" customHeight="1" x14ac:dyDescent="0.25">
      <c r="A3" s="18"/>
      <c r="B3" s="344"/>
      <c r="C3" s="344"/>
      <c r="D3" s="344"/>
      <c r="E3" s="344"/>
      <c r="F3" s="344"/>
      <c r="G3" s="344"/>
      <c r="H3" s="344"/>
      <c r="I3" s="344"/>
    </row>
    <row r="4" spans="1:15" ht="15" customHeight="1" x14ac:dyDescent="0.25">
      <c r="A4" s="18"/>
      <c r="C4" s="160"/>
      <c r="D4" s="160"/>
      <c r="E4" s="160"/>
      <c r="F4" s="160"/>
    </row>
    <row r="5" spans="1:15" ht="15" customHeight="1" x14ac:dyDescent="0.25">
      <c r="A5" s="19" t="s">
        <v>9</v>
      </c>
      <c r="C5" s="156">
        <v>2020</v>
      </c>
      <c r="D5" s="156">
        <v>2019</v>
      </c>
      <c r="E5" s="156">
        <v>2018</v>
      </c>
      <c r="F5" s="156">
        <v>2017</v>
      </c>
      <c r="G5" s="35" t="s">
        <v>758</v>
      </c>
      <c r="H5" s="20" t="s">
        <v>10</v>
      </c>
      <c r="I5" s="6" t="s">
        <v>11</v>
      </c>
    </row>
    <row r="6" spans="1:15" ht="15" customHeight="1" x14ac:dyDescent="0.25">
      <c r="A6" s="48" t="s">
        <v>24</v>
      </c>
      <c r="B6" s="49"/>
      <c r="C6" s="164"/>
      <c r="D6" s="164"/>
      <c r="E6" s="164"/>
      <c r="F6" s="164"/>
      <c r="G6" s="61"/>
      <c r="H6" s="62"/>
      <c r="I6" s="47"/>
    </row>
    <row r="7" spans="1:15" ht="15" customHeight="1" x14ac:dyDescent="0.25">
      <c r="A7" s="159" t="s">
        <v>24</v>
      </c>
      <c r="B7" s="167" t="s">
        <v>49</v>
      </c>
      <c r="C7" s="168"/>
      <c r="D7" s="165"/>
      <c r="E7" s="165"/>
      <c r="F7" s="165"/>
      <c r="G7" s="109">
        <f t="shared" ref="G7:G70" si="0">IF(ISERROR(C7- D7)=TRUE,"",C7 - D7)</f>
        <v>0</v>
      </c>
      <c r="H7" s="113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10"/>
      <c r="J7" s="154"/>
      <c r="K7" s="154"/>
      <c r="L7" s="154"/>
      <c r="M7" s="154"/>
      <c r="N7" s="154"/>
      <c r="O7" s="154"/>
    </row>
    <row r="8" spans="1:15" ht="15" customHeight="1" x14ac:dyDescent="0.25">
      <c r="A8" s="159" t="s">
        <v>24</v>
      </c>
      <c r="B8" s="163" t="s">
        <v>759</v>
      </c>
      <c r="C8" s="169">
        <f>+'2020'!H113/1000</f>
        <v>1520.3002519097338</v>
      </c>
      <c r="D8" s="166">
        <f>+'2019'!F643/1000</f>
        <v>5929.2448618587105</v>
      </c>
      <c r="E8" s="166">
        <v>5224.8578919535403</v>
      </c>
      <c r="F8" s="166">
        <v>6366.0078821195202</v>
      </c>
      <c r="G8" s="95">
        <f t="shared" si="0"/>
        <v>-4408.9446099489769</v>
      </c>
      <c r="H8" s="102" t="str">
        <f t="shared" si="1"/>
        <v>-74,4%▼</v>
      </c>
      <c r="I8" s="90"/>
      <c r="J8" s="154"/>
      <c r="K8" s="154"/>
      <c r="L8" s="154"/>
      <c r="M8" s="154"/>
      <c r="N8" s="154"/>
      <c r="O8" s="154"/>
    </row>
    <row r="9" spans="1:15" ht="15" customHeight="1" x14ac:dyDescent="0.25">
      <c r="A9" s="159" t="s">
        <v>24</v>
      </c>
      <c r="B9" s="173" t="s">
        <v>760</v>
      </c>
      <c r="C9" s="174"/>
      <c r="D9" s="122"/>
      <c r="E9" s="122"/>
      <c r="F9" s="122"/>
      <c r="G9" s="109">
        <f t="shared" si="0"/>
        <v>0</v>
      </c>
      <c r="H9" s="113" t="str">
        <f t="shared" si="1"/>
        <v/>
      </c>
      <c r="I9" s="110"/>
      <c r="J9" s="154"/>
      <c r="K9" s="154"/>
      <c r="L9" s="154"/>
      <c r="M9" s="154"/>
      <c r="N9" s="154"/>
      <c r="O9" s="154"/>
    </row>
    <row r="10" spans="1:15" ht="15" customHeight="1" x14ac:dyDescent="0.25">
      <c r="A10" s="159" t="s">
        <v>24</v>
      </c>
      <c r="B10" s="163" t="s">
        <v>761</v>
      </c>
      <c r="C10" s="169"/>
      <c r="D10" s="166"/>
      <c r="E10" s="166"/>
      <c r="F10" s="166"/>
      <c r="G10" s="95">
        <f t="shared" si="0"/>
        <v>0</v>
      </c>
      <c r="H10" s="102" t="str">
        <f t="shared" si="1"/>
        <v/>
      </c>
      <c r="I10" s="90"/>
      <c r="J10" s="154"/>
      <c r="K10" s="154"/>
      <c r="L10" s="154"/>
      <c r="M10" s="154"/>
      <c r="N10" s="154"/>
      <c r="O10" s="154"/>
    </row>
    <row r="11" spans="1:15" ht="15" customHeight="1" x14ac:dyDescent="0.25">
      <c r="A11" s="159" t="s">
        <v>24</v>
      </c>
      <c r="B11" s="167" t="s">
        <v>762</v>
      </c>
      <c r="C11" s="168">
        <f>+'2020'!F54/1000+'2020'!K85/1000</f>
        <v>14674.605169999999</v>
      </c>
      <c r="D11" s="165">
        <f>+'2019'!J319/1000+'2019'!F796/1000</f>
        <v>13026.400949999999</v>
      </c>
      <c r="E11" s="165">
        <v>6885.2699199999997</v>
      </c>
      <c r="F11" s="165">
        <v>7735.6913599999998</v>
      </c>
      <c r="G11" s="109">
        <f t="shared" si="0"/>
        <v>1648.2042199999996</v>
      </c>
      <c r="H11" s="113" t="str">
        <f t="shared" si="1"/>
        <v>12,7%▲</v>
      </c>
      <c r="I11" s="110"/>
      <c r="J11" s="154"/>
      <c r="K11" s="154"/>
      <c r="L11" s="154"/>
      <c r="M11" s="154"/>
      <c r="N11" s="154"/>
      <c r="O11" s="154"/>
    </row>
    <row r="12" spans="1:15" ht="15" customHeight="1" x14ac:dyDescent="0.25">
      <c r="A12" s="159" t="s">
        <v>24</v>
      </c>
      <c r="B12" s="163" t="s">
        <v>763</v>
      </c>
      <c r="C12" s="169"/>
      <c r="D12" s="166"/>
      <c r="E12" s="166"/>
      <c r="F12" s="166"/>
      <c r="G12" s="95">
        <f t="shared" si="0"/>
        <v>0</v>
      </c>
      <c r="H12" s="102" t="str">
        <f t="shared" si="1"/>
        <v/>
      </c>
      <c r="I12" s="90"/>
      <c r="J12" s="154"/>
      <c r="K12" s="154"/>
      <c r="L12" s="154"/>
      <c r="M12" s="154"/>
      <c r="N12" s="154"/>
      <c r="O12" s="154"/>
    </row>
    <row r="13" spans="1:15" ht="15" customHeight="1" x14ac:dyDescent="0.25">
      <c r="A13" s="159" t="s">
        <v>24</v>
      </c>
      <c r="B13" s="173" t="s">
        <v>764</v>
      </c>
      <c r="C13" s="174"/>
      <c r="D13" s="122"/>
      <c r="E13" s="122"/>
      <c r="F13" s="122"/>
      <c r="G13" s="109">
        <f t="shared" si="0"/>
        <v>0</v>
      </c>
      <c r="H13" s="113" t="str">
        <f t="shared" si="1"/>
        <v/>
      </c>
      <c r="I13" s="115"/>
      <c r="J13" s="154"/>
      <c r="K13" s="154"/>
      <c r="L13" s="154"/>
      <c r="M13" s="154"/>
      <c r="N13" s="154"/>
      <c r="O13" s="154"/>
    </row>
    <row r="14" spans="1:15" ht="15" customHeight="1" x14ac:dyDescent="0.25">
      <c r="A14" s="159" t="s">
        <v>24</v>
      </c>
      <c r="B14" s="170" t="s">
        <v>765</v>
      </c>
      <c r="C14" s="171"/>
      <c r="D14" s="121"/>
      <c r="E14" s="121"/>
      <c r="F14" s="121"/>
      <c r="G14" s="95">
        <f t="shared" si="0"/>
        <v>0</v>
      </c>
      <c r="H14" s="102" t="str">
        <f t="shared" si="1"/>
        <v/>
      </c>
      <c r="I14" s="111"/>
      <c r="J14" s="154"/>
      <c r="K14" s="154"/>
      <c r="L14" s="154"/>
      <c r="M14" s="154"/>
      <c r="N14" s="154"/>
      <c r="O14" s="154"/>
    </row>
    <row r="15" spans="1:15" ht="15" customHeight="1" x14ac:dyDescent="0.25">
      <c r="A15" s="159" t="s">
        <v>24</v>
      </c>
      <c r="B15" s="173" t="s">
        <v>766</v>
      </c>
      <c r="C15" s="115">
        <f>+('2020'!C90+SUM('2020'!C98:C100)+'2020'!E106)/1000</f>
        <v>16893.2274</v>
      </c>
      <c r="D15" s="122">
        <f>+('2019'!C552+'2019'!E560)/1000</f>
        <v>13735.92541</v>
      </c>
      <c r="E15" s="122">
        <v>11368.731957256001</v>
      </c>
      <c r="F15" s="122">
        <v>12573.436527252499</v>
      </c>
      <c r="G15" s="109">
        <f t="shared" si="0"/>
        <v>3157.3019899999999</v>
      </c>
      <c r="H15" s="113" t="str">
        <f t="shared" si="1"/>
        <v>23,0%▲</v>
      </c>
      <c r="I15" s="115"/>
      <c r="J15" s="154"/>
      <c r="K15" s="154"/>
      <c r="L15" s="154"/>
      <c r="M15" s="154"/>
      <c r="N15" s="154"/>
      <c r="O15" s="154"/>
    </row>
    <row r="16" spans="1:15" ht="15" customHeight="1" x14ac:dyDescent="0.25">
      <c r="A16" s="159" t="s">
        <v>24</v>
      </c>
      <c r="B16" s="163" t="s">
        <v>767</v>
      </c>
      <c r="C16" s="169"/>
      <c r="D16" s="166"/>
      <c r="E16" s="166"/>
      <c r="F16" s="166"/>
      <c r="G16" s="95">
        <f t="shared" si="0"/>
        <v>0</v>
      </c>
      <c r="H16" s="102" t="str">
        <f t="shared" si="1"/>
        <v/>
      </c>
      <c r="I16" s="90"/>
      <c r="J16" s="154"/>
      <c r="K16" s="154"/>
      <c r="L16" s="154"/>
      <c r="M16" s="154"/>
      <c r="N16" s="154"/>
      <c r="O16" s="154"/>
    </row>
    <row r="17" spans="1:15" ht="15" customHeight="1" x14ac:dyDescent="0.25">
      <c r="A17" s="159" t="s">
        <v>24</v>
      </c>
      <c r="B17" s="167" t="s">
        <v>768</v>
      </c>
      <c r="C17" s="168"/>
      <c r="D17" s="165"/>
      <c r="E17" s="165"/>
      <c r="F17" s="165"/>
      <c r="G17" s="109">
        <f t="shared" si="0"/>
        <v>0</v>
      </c>
      <c r="H17" s="113" t="str">
        <f t="shared" si="1"/>
        <v/>
      </c>
      <c r="I17" s="110"/>
      <c r="J17" s="154"/>
      <c r="K17" s="154"/>
      <c r="L17" s="154"/>
      <c r="M17" s="154"/>
      <c r="N17" s="154"/>
      <c r="O17" s="154"/>
    </row>
    <row r="18" spans="1:15" ht="15" customHeight="1" x14ac:dyDescent="0.25">
      <c r="A18" s="159" t="s">
        <v>24</v>
      </c>
      <c r="B18" s="170" t="s">
        <v>769</v>
      </c>
      <c r="C18" s="171"/>
      <c r="D18" s="121"/>
      <c r="E18" s="121"/>
      <c r="F18" s="121"/>
      <c r="G18" s="95">
        <f t="shared" si="0"/>
        <v>0</v>
      </c>
      <c r="H18" s="102" t="str">
        <f t="shared" si="1"/>
        <v/>
      </c>
      <c r="I18" s="111"/>
      <c r="J18" s="154"/>
      <c r="K18" s="154"/>
      <c r="L18" s="154"/>
      <c r="M18" s="154"/>
      <c r="N18" s="154"/>
      <c r="O18" s="154"/>
    </row>
    <row r="19" spans="1:15" ht="15" customHeight="1" x14ac:dyDescent="0.25">
      <c r="A19" s="159" t="s">
        <v>24</v>
      </c>
      <c r="B19" s="167" t="s">
        <v>770</v>
      </c>
      <c r="C19" s="168"/>
      <c r="D19" s="165"/>
      <c r="E19" s="165"/>
      <c r="F19" s="165"/>
      <c r="G19" s="109">
        <f t="shared" si="0"/>
        <v>0</v>
      </c>
      <c r="H19" s="113" t="str">
        <f t="shared" si="1"/>
        <v/>
      </c>
      <c r="I19" s="110"/>
      <c r="J19" s="154"/>
      <c r="K19" s="154"/>
      <c r="L19" s="154"/>
      <c r="M19" s="154"/>
      <c r="N19" s="154"/>
      <c r="O19" s="154"/>
    </row>
    <row r="20" spans="1:15" ht="15" customHeight="1" x14ac:dyDescent="0.25">
      <c r="A20" s="159" t="s">
        <v>24</v>
      </c>
      <c r="B20" s="170" t="s">
        <v>771</v>
      </c>
      <c r="C20" s="171"/>
      <c r="D20" s="121"/>
      <c r="E20" s="121"/>
      <c r="F20" s="121"/>
      <c r="G20" s="95">
        <f t="shared" si="0"/>
        <v>0</v>
      </c>
      <c r="H20" s="102" t="str">
        <f t="shared" si="1"/>
        <v/>
      </c>
      <c r="I20" s="111"/>
      <c r="J20" s="154"/>
      <c r="K20" s="154"/>
      <c r="L20" s="154"/>
      <c r="M20" s="154"/>
      <c r="N20" s="154"/>
      <c r="O20" s="154"/>
    </row>
    <row r="21" spans="1:15" ht="15" customHeight="1" x14ac:dyDescent="0.25">
      <c r="A21" s="159" t="s">
        <v>24</v>
      </c>
      <c r="B21" s="167" t="s">
        <v>772</v>
      </c>
      <c r="C21" s="168">
        <f>+(('2020'!H244-'2020'!J242)+'2020'!H250+'2020'!H255-'2020'!H262+'2020'!J281)/1000</f>
        <v>-28486.572760000003</v>
      </c>
      <c r="D21" s="165">
        <f>+('2019'!L365-'2019'!N365+'2019'!L371+'2019'!L374+'2019'!L378-'2019'!L385+'2019'!G395+'2019'!J406)/1000</f>
        <v>-39273.501320000003</v>
      </c>
      <c r="E21" s="165">
        <v>-35378.549511107602</v>
      </c>
      <c r="F21" s="165">
        <v>-34831.832463059298</v>
      </c>
      <c r="G21" s="109">
        <f t="shared" si="0"/>
        <v>10786.92856</v>
      </c>
      <c r="H21" s="113" t="str">
        <f t="shared" si="1"/>
        <v>-27,5%▼</v>
      </c>
      <c r="I21" s="110"/>
      <c r="J21" s="154"/>
      <c r="K21" s="154"/>
      <c r="L21" s="154"/>
      <c r="M21" s="154"/>
      <c r="N21" s="154"/>
      <c r="O21" s="154"/>
    </row>
    <row r="22" spans="1:15" ht="15" customHeight="1" x14ac:dyDescent="0.25">
      <c r="A22" s="159" t="s">
        <v>24</v>
      </c>
      <c r="B22" s="170" t="s">
        <v>773</v>
      </c>
      <c r="C22" s="171"/>
      <c r="D22" s="121"/>
      <c r="E22" s="121"/>
      <c r="F22" s="121"/>
      <c r="G22" s="95">
        <f t="shared" si="0"/>
        <v>0</v>
      </c>
      <c r="H22" s="102" t="str">
        <f t="shared" si="1"/>
        <v/>
      </c>
      <c r="I22" s="111"/>
      <c r="J22" s="154"/>
      <c r="K22" s="154"/>
      <c r="L22" s="154"/>
      <c r="M22" s="154"/>
      <c r="N22" s="154"/>
      <c r="O22" s="154"/>
    </row>
    <row r="23" spans="1:15" ht="15" customHeight="1" x14ac:dyDescent="0.25">
      <c r="A23" s="159" t="s">
        <v>24</v>
      </c>
      <c r="B23" s="167" t="s">
        <v>774</v>
      </c>
      <c r="C23" s="168">
        <f>+'2020'!I28/1000</f>
        <v>-2402677.1084099999</v>
      </c>
      <c r="D23" s="165">
        <f>+'2019'!K64/1000</f>
        <v>-2241480.2529699998</v>
      </c>
      <c r="E23" s="165">
        <v>-2312009.79232</v>
      </c>
      <c r="F23" s="165">
        <f>+'[1]leasing, indtægter,tolke'!G116/1000</f>
        <v>-2037064.1632300001</v>
      </c>
      <c r="G23" s="109">
        <f t="shared" si="0"/>
        <v>-161196.85544000007</v>
      </c>
      <c r="H23" s="113" t="str">
        <f t="shared" si="1"/>
        <v>7,2%▲</v>
      </c>
      <c r="I23" s="110"/>
      <c r="J23" s="154"/>
      <c r="K23" s="154"/>
      <c r="L23" s="154"/>
      <c r="M23" s="154"/>
      <c r="N23" s="154"/>
      <c r="O23" s="154"/>
    </row>
    <row r="24" spans="1:15" ht="15" customHeight="1" x14ac:dyDescent="0.25">
      <c r="A24" s="159" t="s">
        <v>24</v>
      </c>
      <c r="B24" s="170" t="s">
        <v>775</v>
      </c>
      <c r="C24" s="171">
        <f>+'2020'!I29/1000+'2020'!E578/1000</f>
        <v>13899.939839999999</v>
      </c>
      <c r="D24" s="121">
        <f>+'2019'!K66/1000+'2019'!J767/1000</f>
        <v>33482.410349999998</v>
      </c>
      <c r="E24" s="121"/>
      <c r="F24" s="121"/>
      <c r="G24" s="95">
        <f t="shared" si="0"/>
        <v>-19582.470509999999</v>
      </c>
      <c r="H24" s="102" t="str">
        <f t="shared" si="1"/>
        <v>-58,5%▼</v>
      </c>
      <c r="I24" s="90"/>
      <c r="J24" s="154"/>
      <c r="K24" s="154"/>
      <c r="L24" s="154"/>
      <c r="M24" s="154"/>
      <c r="N24" s="154"/>
      <c r="O24" s="154"/>
    </row>
    <row r="25" spans="1:15" ht="15" customHeight="1" x14ac:dyDescent="0.25">
      <c r="A25" s="159" t="s">
        <v>24</v>
      </c>
      <c r="B25" s="167" t="s">
        <v>776</v>
      </c>
      <c r="C25" s="168"/>
      <c r="D25" s="165"/>
      <c r="E25" s="165">
        <v>-1749.6686099999999</v>
      </c>
      <c r="F25" s="165">
        <v>3615.35545</v>
      </c>
      <c r="G25" s="109">
        <f t="shared" si="0"/>
        <v>0</v>
      </c>
      <c r="H25" s="113" t="str">
        <f t="shared" si="1"/>
        <v/>
      </c>
      <c r="I25" s="110"/>
      <c r="J25" s="154"/>
      <c r="K25" s="154"/>
      <c r="L25" s="154"/>
      <c r="M25" s="154"/>
      <c r="N25" s="154"/>
      <c r="O25" s="154"/>
    </row>
    <row r="26" spans="1:15" ht="15" customHeight="1" x14ac:dyDescent="0.25">
      <c r="A26" s="159" t="s">
        <v>24</v>
      </c>
      <c r="B26" s="170" t="s">
        <v>777</v>
      </c>
      <c r="C26" s="171">
        <f>+'2020'!E640/1000+'2020'!E667/1000</f>
        <v>8325.9317800000008</v>
      </c>
      <c r="D26" s="121">
        <f>+'2019'!J725/1000+'2019'!H752/1000</f>
        <v>7755.1409900000008</v>
      </c>
      <c r="E26" s="121">
        <v>6240.4215400000003</v>
      </c>
      <c r="F26" s="112">
        <v>5401.2581799999998</v>
      </c>
      <c r="G26" s="95">
        <f t="shared" si="0"/>
        <v>570.79079000000002</v>
      </c>
      <c r="H26" s="102" t="str">
        <f t="shared" si="1"/>
        <v>7,4%▲</v>
      </c>
      <c r="I26" s="111"/>
      <c r="J26" s="154"/>
      <c r="K26" s="154"/>
      <c r="L26" s="154"/>
      <c r="M26" s="154"/>
      <c r="N26" s="154"/>
      <c r="O26" s="154"/>
    </row>
    <row r="27" spans="1:15" ht="15" customHeight="1" x14ac:dyDescent="0.25">
      <c r="A27" s="159" t="s">
        <v>24</v>
      </c>
      <c r="B27" s="167" t="s">
        <v>778</v>
      </c>
      <c r="C27" s="168">
        <v>53772.080594744002</v>
      </c>
      <c r="D27" s="165">
        <v>31032.376362020099</v>
      </c>
      <c r="E27" s="165">
        <v>31216.024006723001</v>
      </c>
      <c r="F27" s="165">
        <f>-('[1]leasing, indtægter,tolke'!M5+'[1]leasing, indtægter,tolke'!M6+'[1]leasing, indtægter,tolke'!M7)+71551.2157463474</f>
        <v>54924.297746347402</v>
      </c>
      <c r="G27" s="109">
        <f t="shared" si="0"/>
        <v>22739.704232723903</v>
      </c>
      <c r="H27" s="113" t="str">
        <f t="shared" si="1"/>
        <v>73,3%▲</v>
      </c>
      <c r="I27" s="110"/>
      <c r="J27" s="154"/>
      <c r="K27" s="154"/>
      <c r="L27" s="154"/>
      <c r="M27" s="154"/>
      <c r="N27" s="154"/>
      <c r="O27" s="154"/>
    </row>
    <row r="28" spans="1:15" ht="15" customHeight="1" x14ac:dyDescent="0.25">
      <c r="A28" s="159" t="s">
        <v>24</v>
      </c>
      <c r="B28" s="163" t="s">
        <v>779</v>
      </c>
      <c r="C28" s="169">
        <f>+'2020'!I436/1000+'2020'!G497/1000</f>
        <v>12069.053099999999</v>
      </c>
      <c r="D28" s="166">
        <f>+'2019'!I510/1000</f>
        <v>4537.0383499999998</v>
      </c>
      <c r="E28" s="166">
        <v>37446.908739999999</v>
      </c>
      <c r="F28" s="166">
        <v>41037.006300000001</v>
      </c>
      <c r="G28" s="95">
        <f t="shared" si="0"/>
        <v>7532.0147499999994</v>
      </c>
      <c r="H28" s="102" t="str">
        <f t="shared" si="1"/>
        <v>166,0%▲</v>
      </c>
      <c r="I28" s="90"/>
      <c r="J28" s="154"/>
      <c r="K28" s="154"/>
      <c r="L28" s="154"/>
      <c r="M28" s="154"/>
      <c r="N28" s="154"/>
      <c r="O28" s="154"/>
    </row>
    <row r="29" spans="1:15" ht="15" customHeight="1" x14ac:dyDescent="0.25">
      <c r="A29" s="159" t="s">
        <v>24</v>
      </c>
      <c r="B29" s="167" t="s">
        <v>780</v>
      </c>
      <c r="C29" s="168"/>
      <c r="D29" s="165"/>
      <c r="E29" s="165"/>
      <c r="F29" s="165"/>
      <c r="G29" s="109">
        <f t="shared" si="0"/>
        <v>0</v>
      </c>
      <c r="H29" s="113" t="str">
        <f t="shared" si="1"/>
        <v/>
      </c>
      <c r="I29" s="110"/>
      <c r="J29" s="154"/>
      <c r="K29" s="154"/>
      <c r="L29" s="154"/>
      <c r="M29" s="154"/>
      <c r="N29" s="154"/>
      <c r="O29" s="154"/>
    </row>
    <row r="30" spans="1:15" ht="15" customHeight="1" x14ac:dyDescent="0.25">
      <c r="A30" s="159" t="s">
        <v>24</v>
      </c>
      <c r="B30" s="163" t="s">
        <v>781</v>
      </c>
      <c r="C30" s="169">
        <f>+'2020'!D138/1000</f>
        <v>-22.215040000000002</v>
      </c>
      <c r="D30" s="166">
        <f>+'2019'!C165/1000</f>
        <v>-378.4676</v>
      </c>
      <c r="E30" s="166">
        <f>+'Ark1'!D95/1000</f>
        <v>331.08864</v>
      </c>
      <c r="F30" s="166">
        <f>+'[1]leasing, indtægter,tolke'!F126/1000</f>
        <v>54.954689999999999</v>
      </c>
      <c r="G30" s="95">
        <f t="shared" si="0"/>
        <v>356.25256000000002</v>
      </c>
      <c r="H30" s="102" t="str">
        <f t="shared" si="1"/>
        <v>-94,1%▼</v>
      </c>
      <c r="I30" s="90"/>
      <c r="J30" s="154"/>
      <c r="K30" s="154"/>
      <c r="L30" s="154"/>
      <c r="M30" s="154"/>
      <c r="N30" s="154"/>
      <c r="O30" s="154"/>
    </row>
    <row r="31" spans="1:15" ht="15" customHeight="1" x14ac:dyDescent="0.25">
      <c r="A31" s="159" t="s">
        <v>24</v>
      </c>
      <c r="B31" s="173" t="s">
        <v>782</v>
      </c>
      <c r="C31" s="174"/>
      <c r="D31" s="122"/>
      <c r="E31" s="122"/>
      <c r="F31" s="122"/>
      <c r="G31" s="109">
        <f t="shared" si="0"/>
        <v>0</v>
      </c>
      <c r="H31" s="113" t="str">
        <f t="shared" si="1"/>
        <v/>
      </c>
      <c r="I31" s="110"/>
      <c r="J31" s="154"/>
      <c r="K31" s="154"/>
      <c r="L31" s="154"/>
      <c r="M31" s="154"/>
      <c r="N31" s="154"/>
      <c r="O31" s="154"/>
    </row>
    <row r="32" spans="1:15" ht="15" customHeight="1" x14ac:dyDescent="0.25">
      <c r="A32" s="159" t="s">
        <v>24</v>
      </c>
      <c r="B32" s="163" t="s">
        <v>783</v>
      </c>
      <c r="C32" s="169"/>
      <c r="D32" s="166"/>
      <c r="E32" s="166"/>
      <c r="F32" s="166"/>
      <c r="G32" s="95">
        <f t="shared" si="0"/>
        <v>0</v>
      </c>
      <c r="H32" s="102" t="str">
        <f t="shared" si="1"/>
        <v/>
      </c>
      <c r="I32" s="90"/>
      <c r="J32" s="154"/>
      <c r="K32" s="154"/>
      <c r="L32" s="154"/>
      <c r="M32" s="154"/>
      <c r="N32" s="154"/>
      <c r="O32" s="154"/>
    </row>
    <row r="33" spans="1:15" ht="15" customHeight="1" x14ac:dyDescent="0.25">
      <c r="A33" s="159" t="s">
        <v>24</v>
      </c>
      <c r="B33" s="173" t="s">
        <v>784</v>
      </c>
      <c r="C33" s="174">
        <v>1939.7169004150101</v>
      </c>
      <c r="D33" s="122">
        <f>+'2019'!B802/1000</f>
        <v>3062.93</v>
      </c>
      <c r="E33" s="122">
        <v>2864.6515982824499</v>
      </c>
      <c r="F33" s="122">
        <v>3227.1141228585898</v>
      </c>
      <c r="G33" s="109">
        <f t="shared" si="0"/>
        <v>-1123.2130995849898</v>
      </c>
      <c r="H33" s="113" t="str">
        <f t="shared" si="1"/>
        <v>-36,7%▼</v>
      </c>
      <c r="I33" s="115"/>
      <c r="J33" s="154"/>
      <c r="K33" s="154"/>
      <c r="L33" s="154"/>
      <c r="M33" s="154"/>
      <c r="N33" s="154"/>
      <c r="O33" s="154"/>
    </row>
    <row r="34" spans="1:15" ht="15" customHeight="1" x14ac:dyDescent="0.25">
      <c r="A34" s="159" t="s">
        <v>24</v>
      </c>
      <c r="B34" s="163" t="s">
        <v>785</v>
      </c>
      <c r="C34" s="169"/>
      <c r="D34" s="166"/>
      <c r="E34" s="166"/>
      <c r="F34" s="166"/>
      <c r="G34" s="95">
        <f t="shared" si="0"/>
        <v>0</v>
      </c>
      <c r="H34" s="102" t="str">
        <f t="shared" si="1"/>
        <v/>
      </c>
      <c r="I34" s="90"/>
      <c r="J34" s="154"/>
      <c r="K34" s="154"/>
      <c r="L34" s="154"/>
      <c r="M34" s="154"/>
      <c r="N34" s="154"/>
      <c r="O34" s="154"/>
    </row>
    <row r="35" spans="1:15" ht="15" customHeight="1" x14ac:dyDescent="0.25">
      <c r="A35" s="159" t="s">
        <v>24</v>
      </c>
      <c r="B35" s="167" t="s">
        <v>786</v>
      </c>
      <c r="C35" s="168"/>
      <c r="D35" s="165"/>
      <c r="E35" s="165"/>
      <c r="F35" s="165"/>
      <c r="G35" s="109">
        <f t="shared" si="0"/>
        <v>0</v>
      </c>
      <c r="H35" s="113" t="str">
        <f t="shared" si="1"/>
        <v/>
      </c>
      <c r="I35" s="110"/>
      <c r="J35" s="154"/>
      <c r="K35" s="154"/>
      <c r="L35" s="154"/>
      <c r="M35" s="154"/>
      <c r="N35" s="154"/>
      <c r="O35" s="154"/>
    </row>
    <row r="36" spans="1:15" s="40" customFormat="1" ht="15" customHeight="1" x14ac:dyDescent="0.25">
      <c r="A36" s="159" t="s">
        <v>24</v>
      </c>
      <c r="B36" s="163" t="s">
        <v>787</v>
      </c>
      <c r="C36" s="169"/>
      <c r="D36" s="166"/>
      <c r="E36" s="166"/>
      <c r="F36" s="166"/>
      <c r="G36" s="95">
        <f t="shared" si="0"/>
        <v>0</v>
      </c>
      <c r="H36" s="102" t="str">
        <f t="shared" si="1"/>
        <v/>
      </c>
      <c r="I36" s="90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9" t="s">
        <v>24</v>
      </c>
      <c r="B37" s="173" t="s">
        <v>788</v>
      </c>
      <c r="C37" s="174"/>
      <c r="D37" s="122"/>
      <c r="E37" s="122"/>
      <c r="F37" s="122"/>
      <c r="G37" s="109">
        <f t="shared" si="0"/>
        <v>0</v>
      </c>
      <c r="H37" s="113" t="str">
        <f t="shared" si="1"/>
        <v/>
      </c>
      <c r="I37" s="115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9" t="s">
        <v>24</v>
      </c>
      <c r="B38" s="163" t="s">
        <v>789</v>
      </c>
      <c r="C38" s="169">
        <f>+'2020'!E158/1000+'2020'!I191/1000</f>
        <v>3358.2149099999997</v>
      </c>
      <c r="D38" s="166">
        <f>+'2019'!I151/1000</f>
        <v>3652.4527699999999</v>
      </c>
      <c r="E38" s="166">
        <v>4778.4676099999997</v>
      </c>
      <c r="F38" s="166">
        <f>+'[1]leasing, indtægter,tolke'!G58/1000</f>
        <v>6374.0054</v>
      </c>
      <c r="G38" s="95">
        <f t="shared" si="0"/>
        <v>-294.23786000000018</v>
      </c>
      <c r="H38" s="102" t="str">
        <f t="shared" si="1"/>
        <v>-8,1%▼</v>
      </c>
      <c r="I38" s="90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9" t="s">
        <v>24</v>
      </c>
      <c r="B39" s="173" t="s">
        <v>790</v>
      </c>
      <c r="C39" s="174"/>
      <c r="D39" s="122"/>
      <c r="E39" s="122"/>
      <c r="F39" s="122"/>
      <c r="G39" s="109">
        <f t="shared" si="0"/>
        <v>0</v>
      </c>
      <c r="H39" s="113" t="str">
        <f t="shared" si="1"/>
        <v/>
      </c>
      <c r="I39" s="115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9" t="s">
        <v>24</v>
      </c>
      <c r="B40" s="163" t="s">
        <v>791</v>
      </c>
      <c r="C40" s="169"/>
      <c r="D40" s="166"/>
      <c r="E40" s="166"/>
      <c r="F40" s="166"/>
      <c r="G40" s="95">
        <f t="shared" si="0"/>
        <v>0</v>
      </c>
      <c r="H40" s="102" t="str">
        <f t="shared" si="1"/>
        <v/>
      </c>
      <c r="I40" s="90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9" t="s">
        <v>24</v>
      </c>
      <c r="B41" s="167" t="s">
        <v>792</v>
      </c>
      <c r="C41" s="168"/>
      <c r="D41" s="165"/>
      <c r="E41" s="165"/>
      <c r="F41" s="165"/>
      <c r="G41" s="109">
        <f t="shared" si="0"/>
        <v>0</v>
      </c>
      <c r="H41" s="113" t="str">
        <f t="shared" si="1"/>
        <v/>
      </c>
      <c r="I41" s="110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9" t="s">
        <v>24</v>
      </c>
      <c r="B42" s="163" t="s">
        <v>793</v>
      </c>
      <c r="C42" s="169"/>
      <c r="D42" s="166"/>
      <c r="E42" s="166"/>
      <c r="F42" s="166"/>
      <c r="G42" s="95">
        <f t="shared" si="0"/>
        <v>0</v>
      </c>
      <c r="H42" s="102" t="str">
        <f t="shared" si="1"/>
        <v/>
      </c>
      <c r="I42" s="90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9" t="s">
        <v>24</v>
      </c>
      <c r="B43" s="167" t="s">
        <v>794</v>
      </c>
      <c r="C43" s="168"/>
      <c r="D43" s="165"/>
      <c r="E43" s="165"/>
      <c r="F43" s="165"/>
      <c r="G43" s="109">
        <f t="shared" si="0"/>
        <v>0</v>
      </c>
      <c r="H43" s="113" t="str">
        <f t="shared" si="1"/>
        <v/>
      </c>
      <c r="I43" s="110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9" t="s">
        <v>24</v>
      </c>
      <c r="B44" s="163" t="s">
        <v>795</v>
      </c>
      <c r="C44" s="169"/>
      <c r="D44" s="166"/>
      <c r="E44" s="166"/>
      <c r="F44" s="166"/>
      <c r="G44" s="95">
        <f t="shared" si="0"/>
        <v>0</v>
      </c>
      <c r="H44" s="102" t="str">
        <f t="shared" si="1"/>
        <v/>
      </c>
      <c r="I44" s="90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59" t="s">
        <v>24</v>
      </c>
      <c r="B45" s="167" t="s">
        <v>796</v>
      </c>
      <c r="C45" s="168">
        <f>212383-42094.151</f>
        <v>170288.84899999999</v>
      </c>
      <c r="D45" s="165"/>
      <c r="E45" s="165"/>
      <c r="F45" s="165"/>
      <c r="G45" s="109">
        <f t="shared" si="0"/>
        <v>170288.84899999999</v>
      </c>
      <c r="H45" s="113" t="str">
        <f t="shared" si="1"/>
        <v/>
      </c>
      <c r="I45" s="110"/>
      <c r="J45" s="39"/>
      <c r="K45" s="39"/>
      <c r="L45" s="39"/>
      <c r="M45" s="39"/>
      <c r="N45" s="39"/>
      <c r="O45" s="39"/>
    </row>
    <row r="46" spans="1:15" s="40" customFormat="1" ht="15" customHeight="1" x14ac:dyDescent="0.25">
      <c r="A46" s="159" t="s">
        <v>24</v>
      </c>
      <c r="B46" s="163" t="s">
        <v>797</v>
      </c>
      <c r="C46" s="169">
        <f>+'2020'!H714/1000</f>
        <v>25601.506000000001</v>
      </c>
      <c r="D46" s="166"/>
      <c r="E46" s="166"/>
      <c r="F46" s="166"/>
      <c r="G46" s="95">
        <f t="shared" si="0"/>
        <v>25601.506000000001</v>
      </c>
      <c r="H46" s="102" t="str">
        <f t="shared" si="1"/>
        <v/>
      </c>
      <c r="I46" s="90"/>
      <c r="J46" s="39"/>
      <c r="K46" s="39"/>
      <c r="L46" s="39"/>
      <c r="M46" s="39"/>
      <c r="N46" s="39"/>
      <c r="O46" s="39"/>
    </row>
    <row r="47" spans="1:15" s="40" customFormat="1" ht="15" customHeight="1" x14ac:dyDescent="0.25">
      <c r="A47" s="159" t="s">
        <v>24</v>
      </c>
      <c r="B47" s="173" t="s">
        <v>186</v>
      </c>
      <c r="C47" s="174"/>
      <c r="D47" s="122">
        <v>0</v>
      </c>
      <c r="E47" s="122">
        <v>3862.3296103263142</v>
      </c>
      <c r="F47" s="122">
        <v>4605</v>
      </c>
      <c r="G47" s="109">
        <f t="shared" si="0"/>
        <v>0</v>
      </c>
      <c r="H47" s="113" t="str">
        <f t="shared" si="1"/>
        <v/>
      </c>
      <c r="I47" s="115"/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59" t="s">
        <v>24</v>
      </c>
      <c r="B48" s="198" t="s">
        <v>8</v>
      </c>
      <c r="C48" s="199">
        <f>SUMIFS((C7:C47),(A7:A47),A48)</f>
        <v>-2108842.4712629309</v>
      </c>
      <c r="D48" s="199">
        <f>SUMIFS((D7:D47),(A7:A47),A48)</f>
        <v>-2164918.3018461205</v>
      </c>
      <c r="E48" s="199">
        <f>SUMIFS((E7:E47),(A7:A47),A48)</f>
        <v>-2238919.2589265658</v>
      </c>
      <c r="F48" s="199">
        <f>SUMIFS((F7:F47),(A7:A47),A48)</f>
        <v>-1925981.8680344815</v>
      </c>
      <c r="G48" s="200">
        <f t="shared" si="0"/>
        <v>56075.830583189614</v>
      </c>
      <c r="H48" s="201" t="str">
        <f t="shared" si="1"/>
        <v>-2,6%</v>
      </c>
      <c r="I48" s="202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48" t="s">
        <v>47</v>
      </c>
      <c r="B49" s="173"/>
      <c r="C49" s="122"/>
      <c r="D49" s="122"/>
      <c r="E49" s="122"/>
      <c r="F49" s="122">
        <v>0</v>
      </c>
      <c r="G49" s="109">
        <f t="shared" si="0"/>
        <v>0</v>
      </c>
      <c r="H49" s="113" t="str">
        <f t="shared" si="1"/>
        <v/>
      </c>
      <c r="I49" s="115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61" t="s">
        <v>47</v>
      </c>
      <c r="B50" s="163" t="s">
        <v>49</v>
      </c>
      <c r="C50" s="169">
        <f>+'2020'!G514/1000</f>
        <v>2008.0246980942954</v>
      </c>
      <c r="D50" s="166">
        <f>+'2019'!G581/1000</f>
        <v>2155.9253513403642</v>
      </c>
      <c r="E50" s="166">
        <v>2186.1968815046898</v>
      </c>
      <c r="F50" s="166">
        <v>1810.40354134172</v>
      </c>
      <c r="G50" s="95">
        <f t="shared" si="0"/>
        <v>-147.90065324606871</v>
      </c>
      <c r="H50" s="102" t="str">
        <f t="shared" si="1"/>
        <v>-6,9%</v>
      </c>
      <c r="I50" s="90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61" t="s">
        <v>47</v>
      </c>
      <c r="B51" s="167" t="s">
        <v>759</v>
      </c>
      <c r="C51" s="168"/>
      <c r="D51" s="165"/>
      <c r="E51" s="165"/>
      <c r="F51" s="165"/>
      <c r="G51" s="109">
        <f t="shared" si="0"/>
        <v>0</v>
      </c>
      <c r="H51" s="113" t="str">
        <f t="shared" si="1"/>
        <v/>
      </c>
      <c r="I51" s="110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61" t="s">
        <v>47</v>
      </c>
      <c r="B52" s="170" t="s">
        <v>760</v>
      </c>
      <c r="C52" s="171"/>
      <c r="D52" s="121"/>
      <c r="E52" s="121"/>
      <c r="F52" s="121"/>
      <c r="G52" s="95">
        <f t="shared" si="0"/>
        <v>0</v>
      </c>
      <c r="H52" s="102" t="str">
        <f t="shared" si="1"/>
        <v/>
      </c>
      <c r="I52" s="111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61" t="s">
        <v>47</v>
      </c>
      <c r="B53" s="167" t="s">
        <v>761</v>
      </c>
      <c r="C53" s="168"/>
      <c r="D53" s="165"/>
      <c r="E53" s="165"/>
      <c r="F53" s="165"/>
      <c r="G53" s="109">
        <f t="shared" si="0"/>
        <v>0</v>
      </c>
      <c r="H53" s="113" t="str">
        <f t="shared" si="1"/>
        <v/>
      </c>
      <c r="I53" s="110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61" t="s">
        <v>47</v>
      </c>
      <c r="B54" s="170" t="s">
        <v>762</v>
      </c>
      <c r="C54" s="171">
        <f>+'2020'!F44/1000+'2020'!K45/1000</f>
        <v>2997.4612699999998</v>
      </c>
      <c r="D54" s="121">
        <f>+'2019'!J173/1000</f>
        <v>4772.995100000001</v>
      </c>
      <c r="E54" s="121">
        <v>6326.8428800000002</v>
      </c>
      <c r="F54" s="121">
        <v>6335.7402000000002</v>
      </c>
      <c r="G54" s="95">
        <f t="shared" si="0"/>
        <v>-1775.5338300000012</v>
      </c>
      <c r="H54" s="102" t="str">
        <f t="shared" si="1"/>
        <v>-37,2%▼</v>
      </c>
      <c r="I54" s="111"/>
      <c r="J54" s="39"/>
      <c r="K54" s="39"/>
      <c r="L54" s="39"/>
      <c r="M54" s="39"/>
      <c r="N54" s="39"/>
      <c r="O54" s="39"/>
    </row>
    <row r="55" spans="1:15" ht="15" customHeight="1" x14ac:dyDescent="0.25">
      <c r="A55" s="161" t="s">
        <v>47</v>
      </c>
      <c r="B55" s="173" t="s">
        <v>763</v>
      </c>
      <c r="C55" s="174"/>
      <c r="D55" s="122"/>
      <c r="E55" s="122"/>
      <c r="F55" s="114"/>
      <c r="G55" s="109">
        <f t="shared" si="0"/>
        <v>0</v>
      </c>
      <c r="H55" s="113" t="str">
        <f t="shared" si="1"/>
        <v/>
      </c>
      <c r="I55" s="115"/>
      <c r="J55" s="154"/>
      <c r="K55" s="154"/>
      <c r="L55" s="154"/>
      <c r="M55" s="154"/>
      <c r="N55" s="154"/>
      <c r="O55" s="154"/>
    </row>
    <row r="56" spans="1:15" ht="15" customHeight="1" x14ac:dyDescent="0.25">
      <c r="A56" s="161" t="s">
        <v>47</v>
      </c>
      <c r="B56" s="163" t="s">
        <v>764</v>
      </c>
      <c r="C56" s="169"/>
      <c r="D56" s="166"/>
      <c r="E56" s="166"/>
      <c r="F56" s="166"/>
      <c r="G56" s="95">
        <f t="shared" si="0"/>
        <v>0</v>
      </c>
      <c r="H56" s="102" t="str">
        <f t="shared" si="1"/>
        <v/>
      </c>
      <c r="I56" s="90"/>
      <c r="J56" s="154"/>
      <c r="K56" s="154"/>
      <c r="L56" s="154"/>
      <c r="M56" s="154"/>
      <c r="N56" s="154"/>
      <c r="O56" s="154"/>
    </row>
    <row r="57" spans="1:15" ht="15" customHeight="1" x14ac:dyDescent="0.25">
      <c r="A57" s="161" t="s">
        <v>47</v>
      </c>
      <c r="B57" s="167" t="s">
        <v>765</v>
      </c>
      <c r="C57" s="168">
        <f>+'2020'!G557/1000</f>
        <v>7707.3918923855172</v>
      </c>
      <c r="D57" s="165">
        <f>+'2019'!G624/1000</f>
        <v>7915.0790541143751</v>
      </c>
      <c r="E57" s="165">
        <v>35365.9165004307</v>
      </c>
      <c r="F57" s="165">
        <v>35123.758858751899</v>
      </c>
      <c r="G57" s="109">
        <f t="shared" si="0"/>
        <v>-207.68716172885797</v>
      </c>
      <c r="H57" s="113" t="str">
        <f t="shared" si="1"/>
        <v>-2,6%</v>
      </c>
      <c r="I57" s="110"/>
      <c r="J57" s="154"/>
      <c r="K57" s="154"/>
      <c r="L57" s="154"/>
      <c r="M57" s="154"/>
      <c r="N57" s="154"/>
      <c r="O57" s="154"/>
    </row>
    <row r="58" spans="1:15" ht="15" customHeight="1" x14ac:dyDescent="0.25">
      <c r="A58" s="161" t="s">
        <v>47</v>
      </c>
      <c r="B58" s="170" t="s">
        <v>766</v>
      </c>
      <c r="C58" s="171"/>
      <c r="D58" s="121"/>
      <c r="E58" s="121"/>
      <c r="F58" s="121"/>
      <c r="G58" s="95">
        <f t="shared" si="0"/>
        <v>0</v>
      </c>
      <c r="H58" s="102" t="str">
        <f t="shared" si="1"/>
        <v/>
      </c>
      <c r="I58" s="111"/>
      <c r="J58" s="154"/>
      <c r="K58" s="154"/>
      <c r="L58" s="154"/>
      <c r="M58" s="154"/>
      <c r="N58" s="154"/>
      <c r="O58" s="154"/>
    </row>
    <row r="59" spans="1:15" ht="15" customHeight="1" x14ac:dyDescent="0.25">
      <c r="A59" s="161" t="s">
        <v>47</v>
      </c>
      <c r="B59" s="167" t="s">
        <v>767</v>
      </c>
      <c r="C59" s="168">
        <f>+'2020'!G533/1000</f>
        <v>14615.997972816933</v>
      </c>
      <c r="D59" s="165">
        <f>+('2019'!G600)/1000</f>
        <v>14776.069015938037</v>
      </c>
      <c r="E59" s="165">
        <v>13731.035889446201</v>
      </c>
      <c r="F59" s="165">
        <v>1893.4292270107501</v>
      </c>
      <c r="G59" s="109">
        <f t="shared" si="0"/>
        <v>-160.07104312110459</v>
      </c>
      <c r="H59" s="113" t="str">
        <f t="shared" si="1"/>
        <v>-1,1%</v>
      </c>
      <c r="I59" s="110"/>
      <c r="J59" s="154"/>
      <c r="K59" s="154"/>
      <c r="L59" s="154"/>
      <c r="M59" s="154"/>
      <c r="N59" s="154"/>
      <c r="O59" s="154"/>
    </row>
    <row r="60" spans="1:15" ht="15" customHeight="1" x14ac:dyDescent="0.25">
      <c r="A60" s="161" t="s">
        <v>47</v>
      </c>
      <c r="B60" s="170" t="s">
        <v>768</v>
      </c>
      <c r="C60" s="171"/>
      <c r="D60" s="121"/>
      <c r="E60" s="121"/>
      <c r="F60" s="121"/>
      <c r="G60" s="95">
        <f t="shared" si="0"/>
        <v>0</v>
      </c>
      <c r="H60" s="102" t="str">
        <f t="shared" si="1"/>
        <v/>
      </c>
      <c r="I60" s="111"/>
      <c r="J60" s="154"/>
      <c r="K60" s="154"/>
      <c r="L60" s="154"/>
      <c r="M60" s="154"/>
      <c r="N60" s="154"/>
      <c r="O60" s="154"/>
    </row>
    <row r="61" spans="1:15" ht="15" customHeight="1" x14ac:dyDescent="0.25">
      <c r="A61" s="161" t="s">
        <v>47</v>
      </c>
      <c r="B61" s="167" t="s">
        <v>769</v>
      </c>
      <c r="C61" s="168"/>
      <c r="D61" s="165"/>
      <c r="E61" s="165"/>
      <c r="F61" s="165"/>
      <c r="G61" s="109">
        <f t="shared" si="0"/>
        <v>0</v>
      </c>
      <c r="H61" s="113" t="str">
        <f t="shared" si="1"/>
        <v/>
      </c>
      <c r="I61" s="110"/>
      <c r="J61" s="154"/>
      <c r="K61" s="154"/>
      <c r="L61" s="154"/>
      <c r="M61" s="154"/>
      <c r="N61" s="154"/>
      <c r="O61" s="154"/>
    </row>
    <row r="62" spans="1:15" ht="15" customHeight="1" x14ac:dyDescent="0.25">
      <c r="A62" s="161" t="s">
        <v>47</v>
      </c>
      <c r="B62" s="163" t="s">
        <v>770</v>
      </c>
      <c r="C62" s="169"/>
      <c r="D62" s="166"/>
      <c r="E62" s="166"/>
      <c r="F62" s="166"/>
      <c r="G62" s="95">
        <f t="shared" si="0"/>
        <v>0</v>
      </c>
      <c r="H62" s="102" t="str">
        <f t="shared" si="1"/>
        <v/>
      </c>
      <c r="I62" s="90"/>
      <c r="J62" s="154"/>
      <c r="K62" s="154"/>
      <c r="L62" s="154"/>
      <c r="M62" s="154"/>
      <c r="N62" s="154"/>
      <c r="O62" s="154"/>
    </row>
    <row r="63" spans="1:15" ht="15" customHeight="1" x14ac:dyDescent="0.25">
      <c r="A63" s="161" t="s">
        <v>47</v>
      </c>
      <c r="B63" s="173" t="s">
        <v>771</v>
      </c>
      <c r="C63" s="174"/>
      <c r="D63" s="122"/>
      <c r="E63" s="122"/>
      <c r="F63" s="122"/>
      <c r="G63" s="109">
        <f t="shared" si="0"/>
        <v>0</v>
      </c>
      <c r="H63" s="113" t="str">
        <f t="shared" si="1"/>
        <v/>
      </c>
      <c r="I63" s="115"/>
      <c r="J63" s="154"/>
      <c r="K63" s="154"/>
      <c r="L63" s="154"/>
      <c r="M63" s="154"/>
      <c r="N63" s="154"/>
      <c r="O63" s="154"/>
    </row>
    <row r="64" spans="1:15" ht="15" customHeight="1" x14ac:dyDescent="0.25">
      <c r="A64" s="161" t="s">
        <v>47</v>
      </c>
      <c r="B64" s="163" t="s">
        <v>772</v>
      </c>
      <c r="C64" s="169">
        <f>+'2020'!I212/1000</f>
        <v>-9900</v>
      </c>
      <c r="D64" s="166">
        <f>+('2019'!L331+'2019'!L332+'2019'!L333)/1000</f>
        <v>-9800</v>
      </c>
      <c r="E64" s="166">
        <v>-20419.837749999999</v>
      </c>
      <c r="F64" s="166">
        <v>-15134.35209</v>
      </c>
      <c r="G64" s="95">
        <f t="shared" si="0"/>
        <v>-100</v>
      </c>
      <c r="H64" s="102" t="str">
        <f t="shared" si="1"/>
        <v>1,0%</v>
      </c>
      <c r="I64" s="90"/>
      <c r="J64" s="154"/>
      <c r="K64" s="154"/>
      <c r="L64" s="154"/>
      <c r="M64" s="154"/>
      <c r="N64" s="154"/>
      <c r="O64" s="154"/>
    </row>
    <row r="65" spans="1:15" ht="15" customHeight="1" x14ac:dyDescent="0.25">
      <c r="A65" s="161" t="s">
        <v>47</v>
      </c>
      <c r="B65" s="173" t="s">
        <v>773</v>
      </c>
      <c r="C65" s="174"/>
      <c r="D65" s="122"/>
      <c r="E65" s="122"/>
      <c r="F65" s="122"/>
      <c r="G65" s="109">
        <f t="shared" si="0"/>
        <v>0</v>
      </c>
      <c r="H65" s="113" t="str">
        <f t="shared" si="1"/>
        <v/>
      </c>
      <c r="I65" s="115"/>
      <c r="J65" s="154"/>
      <c r="K65" s="154"/>
      <c r="L65" s="154"/>
      <c r="M65" s="154"/>
      <c r="N65" s="154"/>
      <c r="O65" s="154"/>
    </row>
    <row r="66" spans="1:15" ht="15" customHeight="1" x14ac:dyDescent="0.25">
      <c r="A66" s="161" t="s">
        <v>47</v>
      </c>
      <c r="B66" s="163" t="s">
        <v>774</v>
      </c>
      <c r="C66" s="341">
        <f>+'2020'!I5/1000</f>
        <v>-75403.75834</v>
      </c>
      <c r="D66" s="166">
        <f>+'2019'!K9/1000</f>
        <v>-101034.41</v>
      </c>
      <c r="E66" s="166">
        <f>+('Ark1'!J12-'Ark1'!J11)/1000</f>
        <v>-107743.40399999999</v>
      </c>
      <c r="F66" s="166">
        <f>+('[1]leasing, indtægter,tolke'!G70-'[1]leasing, indtægter,tolke'!G66)/1000</f>
        <v>-96144.218999999997</v>
      </c>
      <c r="G66" s="95">
        <f t="shared" si="0"/>
        <v>25630.651660000003</v>
      </c>
      <c r="H66" s="102" t="str">
        <f t="shared" si="1"/>
        <v>-25,4%▼</v>
      </c>
      <c r="I66" s="90"/>
      <c r="J66" s="154"/>
      <c r="K66" s="154"/>
      <c r="L66" s="154"/>
      <c r="M66" s="154"/>
      <c r="N66" s="154"/>
      <c r="O66" s="154"/>
    </row>
    <row r="67" spans="1:15" ht="15" customHeight="1" x14ac:dyDescent="0.25">
      <c r="A67" s="161" t="s">
        <v>47</v>
      </c>
      <c r="B67" s="173" t="s">
        <v>775</v>
      </c>
      <c r="C67" s="342">
        <f>+'2020'!I6/1000</f>
        <v>-2342.53406</v>
      </c>
      <c r="D67" s="122">
        <f>+'2019'!K11/1000</f>
        <v>-9247.8032800000001</v>
      </c>
      <c r="E67" s="122">
        <f>+'Ark1'!J11/1000</f>
        <v>-340.93</v>
      </c>
      <c r="F67" s="122">
        <f>+'[1]leasing, indtægter,tolke'!E66/1000</f>
        <v>-169.215</v>
      </c>
      <c r="G67" s="109">
        <f t="shared" si="0"/>
        <v>6905.2692200000001</v>
      </c>
      <c r="H67" s="113" t="str">
        <f t="shared" si="1"/>
        <v>-74,7%▼</v>
      </c>
      <c r="I67" s="110"/>
      <c r="J67" s="154"/>
      <c r="K67" s="154"/>
      <c r="L67" s="154"/>
      <c r="M67" s="154"/>
      <c r="N67" s="154"/>
      <c r="O67" s="154"/>
    </row>
    <row r="68" spans="1:15" ht="15" customHeight="1" x14ac:dyDescent="0.25">
      <c r="A68" s="161" t="s">
        <v>47</v>
      </c>
      <c r="B68" s="163" t="s">
        <v>776</v>
      </c>
      <c r="C68" s="169"/>
      <c r="D68" s="166"/>
      <c r="E68" s="166"/>
      <c r="F68" s="166"/>
      <c r="G68" s="95">
        <f t="shared" si="0"/>
        <v>0</v>
      </c>
      <c r="H68" s="102" t="str">
        <f t="shared" si="1"/>
        <v/>
      </c>
      <c r="I68" s="90"/>
      <c r="J68" s="154"/>
      <c r="K68" s="154"/>
      <c r="L68" s="154"/>
      <c r="M68" s="154"/>
      <c r="N68" s="154"/>
      <c r="O68" s="154"/>
    </row>
    <row r="69" spans="1:15" ht="15" customHeight="1" x14ac:dyDescent="0.25">
      <c r="A69" s="161" t="s">
        <v>47</v>
      </c>
      <c r="B69" s="173" t="s">
        <v>777</v>
      </c>
      <c r="C69" s="174">
        <f>+'2020'!E614/1000+'2020'!E653/1000</f>
        <v>3274.4761599999997</v>
      </c>
      <c r="D69" s="122">
        <f>+'2019'!J667/1000+'2019'!J758/1000</f>
        <v>4150.8680400000003</v>
      </c>
      <c r="E69" s="122">
        <v>5826.8569799999996</v>
      </c>
      <c r="F69" s="122">
        <v>8541.6641</v>
      </c>
      <c r="G69" s="109">
        <f t="shared" si="0"/>
        <v>-876.39188000000058</v>
      </c>
      <c r="H69" s="113" t="str">
        <f t="shared" si="1"/>
        <v>-21,1%▼</v>
      </c>
      <c r="I69" s="115"/>
      <c r="J69" s="154"/>
      <c r="K69" s="154"/>
      <c r="L69" s="154"/>
      <c r="M69" s="154"/>
      <c r="N69" s="154"/>
      <c r="O69" s="154"/>
    </row>
    <row r="70" spans="1:15" ht="15" customHeight="1" x14ac:dyDescent="0.25">
      <c r="A70" s="161" t="s">
        <v>47</v>
      </c>
      <c r="B70" s="163" t="s">
        <v>778</v>
      </c>
      <c r="C70" s="169">
        <v>82586.762245829901</v>
      </c>
      <c r="D70" s="166">
        <v>50664.685492178498</v>
      </c>
      <c r="E70" s="166">
        <v>54845.489319166503</v>
      </c>
      <c r="F70" s="166">
        <v>53984.160891494197</v>
      </c>
      <c r="G70" s="95">
        <f t="shared" si="0"/>
        <v>31922.076753651403</v>
      </c>
      <c r="H70" s="102" t="str">
        <f t="shared" si="1"/>
        <v>63,0%▲</v>
      </c>
      <c r="I70" s="90"/>
      <c r="J70" s="154"/>
      <c r="K70" s="154"/>
      <c r="L70" s="154"/>
      <c r="M70" s="154"/>
      <c r="N70" s="154"/>
      <c r="O70" s="154"/>
    </row>
    <row r="71" spans="1:15" ht="15" customHeight="1" x14ac:dyDescent="0.25">
      <c r="A71" s="161" t="s">
        <v>47</v>
      </c>
      <c r="B71" s="173" t="s">
        <v>779</v>
      </c>
      <c r="C71" s="174">
        <f>+('2020'!L469+'2020'!Q464)/1000</f>
        <v>723.68047000000013</v>
      </c>
      <c r="D71" s="122">
        <f>+'2019'!I470/1000</f>
        <v>1427.04781</v>
      </c>
      <c r="E71" s="122">
        <v>15867.480159999999</v>
      </c>
      <c r="F71" s="122">
        <v>15184.68514</v>
      </c>
      <c r="G71" s="109">
        <f t="shared" ref="G71:G134" si="2">IF(ISERROR(C71- D71)=TRUE,"",C71 - D71)</f>
        <v>-703.3673399999999</v>
      </c>
      <c r="H71" s="113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>-49,3%▼</v>
      </c>
      <c r="I71" s="115"/>
      <c r="J71" s="154"/>
      <c r="K71" s="154"/>
      <c r="L71" s="154"/>
      <c r="M71" s="154"/>
      <c r="N71" s="154"/>
      <c r="O71" s="154"/>
    </row>
    <row r="72" spans="1:15" ht="15" customHeight="1" x14ac:dyDescent="0.25">
      <c r="A72" s="161" t="s">
        <v>47</v>
      </c>
      <c r="B72" s="163" t="s">
        <v>780</v>
      </c>
      <c r="C72" s="169"/>
      <c r="D72" s="166"/>
      <c r="E72" s="166"/>
      <c r="F72" s="166">
        <f>+'[1]leasing, indtægter,tolke'!F120/1000</f>
        <v>0</v>
      </c>
      <c r="G72" s="95">
        <f t="shared" si="2"/>
        <v>0</v>
      </c>
      <c r="H72" s="102" t="str">
        <f t="shared" si="3"/>
        <v/>
      </c>
      <c r="I72" s="90"/>
      <c r="J72" s="154"/>
      <c r="K72" s="154"/>
      <c r="L72" s="154"/>
      <c r="M72" s="154"/>
      <c r="N72" s="154"/>
      <c r="O72" s="154"/>
    </row>
    <row r="73" spans="1:15" ht="15" customHeight="1" x14ac:dyDescent="0.25">
      <c r="A73" s="161" t="s">
        <v>47</v>
      </c>
      <c r="B73" s="173" t="s">
        <v>781</v>
      </c>
      <c r="C73" s="174">
        <f>+'2020'!D126/1000</f>
        <v>0</v>
      </c>
      <c r="D73" s="122">
        <f>+'2019'!C159/1000</f>
        <v>-0.13</v>
      </c>
      <c r="E73" s="122"/>
      <c r="F73" s="122"/>
      <c r="G73" s="109">
        <f t="shared" si="2"/>
        <v>0.13</v>
      </c>
      <c r="H73" s="113" t="str">
        <f t="shared" si="3"/>
        <v>-100,0%▼</v>
      </c>
      <c r="I73" s="115"/>
      <c r="J73" s="154"/>
      <c r="K73" s="154"/>
      <c r="L73" s="154"/>
      <c r="M73" s="154"/>
      <c r="N73" s="154"/>
      <c r="O73" s="154"/>
    </row>
    <row r="74" spans="1:15" s="40" customFormat="1" ht="15" customHeight="1" x14ac:dyDescent="0.25">
      <c r="A74" s="161" t="s">
        <v>47</v>
      </c>
      <c r="B74" s="163" t="s">
        <v>782</v>
      </c>
      <c r="C74" s="169"/>
      <c r="D74" s="166"/>
      <c r="E74" s="166"/>
      <c r="F74" s="166"/>
      <c r="G74" s="95">
        <f t="shared" si="2"/>
        <v>0</v>
      </c>
      <c r="H74" s="102" t="str">
        <f t="shared" si="3"/>
        <v/>
      </c>
      <c r="I74" s="90"/>
      <c r="J74" s="39"/>
      <c r="K74" s="39"/>
      <c r="L74" s="39"/>
      <c r="M74" s="39"/>
      <c r="N74" s="39"/>
      <c r="O74" s="39"/>
    </row>
    <row r="75" spans="1:15" ht="15" customHeight="1" x14ac:dyDescent="0.25">
      <c r="A75" s="161" t="s">
        <v>47</v>
      </c>
      <c r="B75" s="173" t="s">
        <v>783</v>
      </c>
      <c r="C75" s="174"/>
      <c r="D75" s="122"/>
      <c r="E75" s="122"/>
      <c r="F75" s="114"/>
      <c r="G75" s="109">
        <f t="shared" si="2"/>
        <v>0</v>
      </c>
      <c r="H75" s="113" t="str">
        <f t="shared" si="3"/>
        <v/>
      </c>
      <c r="I75" s="115"/>
      <c r="J75" s="154"/>
      <c r="K75" s="154"/>
      <c r="L75" s="154"/>
      <c r="M75" s="154"/>
      <c r="N75" s="154"/>
      <c r="O75" s="154"/>
    </row>
    <row r="76" spans="1:15" ht="15" customHeight="1" x14ac:dyDescent="0.25">
      <c r="A76" s="161" t="s">
        <v>47</v>
      </c>
      <c r="B76" s="163" t="s">
        <v>784</v>
      </c>
      <c r="C76" s="169"/>
      <c r="D76" s="166"/>
      <c r="E76" s="166"/>
      <c r="F76" s="166"/>
      <c r="G76" s="95">
        <f t="shared" si="2"/>
        <v>0</v>
      </c>
      <c r="H76" s="102" t="str">
        <f t="shared" si="3"/>
        <v/>
      </c>
      <c r="I76" s="90"/>
      <c r="J76" s="154"/>
      <c r="K76" s="154"/>
      <c r="L76" s="154"/>
      <c r="M76" s="154"/>
      <c r="N76" s="154"/>
      <c r="O76" s="154"/>
    </row>
    <row r="77" spans="1:15" ht="15" customHeight="1" x14ac:dyDescent="0.25">
      <c r="A77" s="161" t="s">
        <v>47</v>
      </c>
      <c r="B77" s="167" t="s">
        <v>785</v>
      </c>
      <c r="C77" s="168">
        <f>+'2020'!E569/1000</f>
        <v>3416.06394</v>
      </c>
      <c r="D77" s="165">
        <f>+'2019'!E636/1000</f>
        <v>2444.3746299999998</v>
      </c>
      <c r="E77" s="165"/>
      <c r="F77" s="165"/>
      <c r="G77" s="109">
        <f t="shared" si="2"/>
        <v>971.68931000000021</v>
      </c>
      <c r="H77" s="113" t="str">
        <f t="shared" si="3"/>
        <v>39,8%▲</v>
      </c>
      <c r="I77" s="110"/>
      <c r="J77" s="154"/>
      <c r="K77" s="154"/>
      <c r="L77" s="154"/>
      <c r="M77" s="154"/>
      <c r="N77" s="154"/>
      <c r="O77" s="154"/>
    </row>
    <row r="78" spans="1:15" ht="15" customHeight="1" x14ac:dyDescent="0.25">
      <c r="A78" s="161" t="s">
        <v>47</v>
      </c>
      <c r="B78" s="163" t="s">
        <v>786</v>
      </c>
      <c r="C78" s="169"/>
      <c r="D78" s="166"/>
      <c r="E78" s="166"/>
      <c r="F78" s="166"/>
      <c r="G78" s="95">
        <f t="shared" si="2"/>
        <v>0</v>
      </c>
      <c r="H78" s="102" t="str">
        <f t="shared" si="3"/>
        <v/>
      </c>
      <c r="I78" s="90"/>
      <c r="J78" s="154"/>
      <c r="K78" s="154"/>
      <c r="L78" s="154"/>
      <c r="M78" s="154"/>
      <c r="N78" s="154"/>
      <c r="O78" s="154"/>
    </row>
    <row r="79" spans="1:15" ht="15" customHeight="1" x14ac:dyDescent="0.25">
      <c r="A79" s="161" t="s">
        <v>47</v>
      </c>
      <c r="B79" s="167" t="s">
        <v>787</v>
      </c>
      <c r="C79" s="168"/>
      <c r="D79" s="165"/>
      <c r="E79" s="165"/>
      <c r="F79" s="165"/>
      <c r="G79" s="109">
        <f t="shared" si="2"/>
        <v>0</v>
      </c>
      <c r="H79" s="113" t="str">
        <f t="shared" si="3"/>
        <v/>
      </c>
      <c r="I79" s="110"/>
      <c r="J79" s="154"/>
      <c r="K79" s="154"/>
      <c r="L79" s="154"/>
      <c r="M79" s="154"/>
      <c r="N79" s="154"/>
      <c r="O79" s="154"/>
    </row>
    <row r="80" spans="1:15" ht="15" customHeight="1" x14ac:dyDescent="0.25">
      <c r="A80" s="161" t="s">
        <v>47</v>
      </c>
      <c r="B80" s="170" t="s">
        <v>788</v>
      </c>
      <c r="C80" s="171"/>
      <c r="D80" s="121"/>
      <c r="E80" s="121"/>
      <c r="F80" s="121"/>
      <c r="G80" s="95">
        <f t="shared" si="2"/>
        <v>0</v>
      </c>
      <c r="H80" s="102" t="str">
        <f t="shared" si="3"/>
        <v/>
      </c>
      <c r="I80" s="111"/>
      <c r="J80" s="154"/>
      <c r="K80" s="154"/>
      <c r="L80" s="154"/>
      <c r="M80" s="154"/>
      <c r="N80" s="154"/>
      <c r="O80" s="154"/>
    </row>
    <row r="81" spans="1:15" ht="15" customHeight="1" x14ac:dyDescent="0.25">
      <c r="A81" s="161" t="s">
        <v>47</v>
      </c>
      <c r="B81" s="252" t="s">
        <v>789</v>
      </c>
      <c r="C81" s="254">
        <f>+'2020'!E146/1000+'2020'!I177/1000-'2020'!G146/1000</f>
        <v>1228.5954399999998</v>
      </c>
      <c r="D81" s="253">
        <f>+'2019'!I112/1000</f>
        <v>1273.6895599999998</v>
      </c>
      <c r="E81" s="165">
        <v>1860.41056</v>
      </c>
      <c r="F81" s="165">
        <f>+'[1]leasing, indtægter,tolke'!G46/1000</f>
        <v>2209.0300999999999</v>
      </c>
      <c r="G81" s="109">
        <f t="shared" si="2"/>
        <v>-45.094119999999975</v>
      </c>
      <c r="H81" s="113" t="str">
        <f t="shared" si="3"/>
        <v>-3,5%</v>
      </c>
      <c r="I81" s="110"/>
      <c r="J81" s="154"/>
      <c r="K81" s="154"/>
      <c r="L81" s="154"/>
      <c r="M81" s="154"/>
      <c r="N81" s="154"/>
      <c r="O81" s="154"/>
    </row>
    <row r="82" spans="1:15" ht="15" customHeight="1" x14ac:dyDescent="0.25">
      <c r="A82" s="161" t="s">
        <v>47</v>
      </c>
      <c r="B82" s="170" t="s">
        <v>790</v>
      </c>
      <c r="C82" s="171"/>
      <c r="D82" s="121"/>
      <c r="E82" s="121"/>
      <c r="F82" s="121"/>
      <c r="G82" s="95">
        <f t="shared" si="2"/>
        <v>0</v>
      </c>
      <c r="H82" s="102" t="str">
        <f t="shared" si="3"/>
        <v/>
      </c>
      <c r="I82" s="111"/>
      <c r="J82" s="154"/>
      <c r="K82" s="154"/>
      <c r="L82" s="154"/>
      <c r="M82" s="154"/>
      <c r="N82" s="154"/>
      <c r="O82" s="154"/>
    </row>
    <row r="83" spans="1:15" ht="15" customHeight="1" x14ac:dyDescent="0.25">
      <c r="A83" s="161" t="s">
        <v>47</v>
      </c>
      <c r="B83" s="173" t="s">
        <v>791</v>
      </c>
      <c r="C83" s="174"/>
      <c r="D83" s="122"/>
      <c r="E83" s="165"/>
      <c r="F83" s="165"/>
      <c r="G83" s="109">
        <f t="shared" si="2"/>
        <v>0</v>
      </c>
      <c r="H83" s="113" t="str">
        <f t="shared" si="3"/>
        <v/>
      </c>
      <c r="I83" s="110"/>
      <c r="J83" s="154"/>
      <c r="K83" s="154"/>
      <c r="L83" s="154"/>
      <c r="M83" s="154"/>
      <c r="N83" s="154"/>
      <c r="O83" s="154"/>
    </row>
    <row r="84" spans="1:15" ht="15" customHeight="1" x14ac:dyDescent="0.25">
      <c r="A84" s="161" t="s">
        <v>47</v>
      </c>
      <c r="B84" s="170" t="s">
        <v>792</v>
      </c>
      <c r="C84" s="171"/>
      <c r="D84" s="121"/>
      <c r="E84" s="166"/>
      <c r="F84" s="166"/>
      <c r="G84" s="95">
        <f t="shared" si="2"/>
        <v>0</v>
      </c>
      <c r="H84" s="102" t="str">
        <f t="shared" si="3"/>
        <v/>
      </c>
      <c r="I84" s="90"/>
      <c r="J84" s="154"/>
      <c r="K84" s="154"/>
      <c r="L84" s="154"/>
      <c r="M84" s="154"/>
      <c r="N84" s="154"/>
      <c r="O84" s="154"/>
    </row>
    <row r="85" spans="1:15" ht="15" customHeight="1" x14ac:dyDescent="0.25">
      <c r="A85" s="161" t="s">
        <v>47</v>
      </c>
      <c r="B85" s="173" t="s">
        <v>793</v>
      </c>
      <c r="C85" s="174"/>
      <c r="D85" s="122"/>
      <c r="E85" s="165"/>
      <c r="F85" s="165"/>
      <c r="G85" s="109">
        <f t="shared" si="2"/>
        <v>0</v>
      </c>
      <c r="H85" s="113" t="str">
        <f t="shared" si="3"/>
        <v/>
      </c>
      <c r="I85" s="110"/>
      <c r="J85" s="154"/>
      <c r="K85" s="154"/>
      <c r="L85" s="154"/>
      <c r="M85" s="154"/>
      <c r="N85" s="154"/>
      <c r="O85" s="154"/>
    </row>
    <row r="86" spans="1:15" ht="15" customHeight="1" x14ac:dyDescent="0.25">
      <c r="A86" s="161" t="s">
        <v>47</v>
      </c>
      <c r="B86" s="170" t="s">
        <v>794</v>
      </c>
      <c r="C86" s="171"/>
      <c r="D86" s="121"/>
      <c r="E86" s="166"/>
      <c r="F86" s="166"/>
      <c r="G86" s="95">
        <f t="shared" si="2"/>
        <v>0</v>
      </c>
      <c r="H86" s="102" t="str">
        <f t="shared" si="3"/>
        <v/>
      </c>
      <c r="I86" s="90"/>
      <c r="J86" s="154"/>
      <c r="K86" s="154"/>
      <c r="L86" s="154"/>
      <c r="M86" s="154"/>
      <c r="N86" s="154"/>
      <c r="O86" s="154"/>
    </row>
    <row r="87" spans="1:15" ht="15" customHeight="1" x14ac:dyDescent="0.25">
      <c r="A87" s="161" t="s">
        <v>47</v>
      </c>
      <c r="B87" s="173" t="s">
        <v>795</v>
      </c>
      <c r="C87" s="174"/>
      <c r="D87" s="122"/>
      <c r="E87" s="165"/>
      <c r="F87" s="165"/>
      <c r="G87" s="109">
        <f t="shared" si="2"/>
        <v>0</v>
      </c>
      <c r="H87" s="113" t="str">
        <f t="shared" si="3"/>
        <v/>
      </c>
      <c r="I87" s="110"/>
      <c r="J87" s="154"/>
      <c r="K87" s="154"/>
      <c r="L87" s="154"/>
      <c r="M87" s="154"/>
      <c r="N87" s="154"/>
      <c r="O87" s="154"/>
    </row>
    <row r="88" spans="1:15" ht="15" customHeight="1" x14ac:dyDescent="0.25">
      <c r="A88" s="161" t="s">
        <v>47</v>
      </c>
      <c r="B88" s="170" t="s">
        <v>796</v>
      </c>
      <c r="C88" s="171">
        <v>90024.641959999994</v>
      </c>
      <c r="D88" s="121"/>
      <c r="E88" s="166"/>
      <c r="F88" s="166"/>
      <c r="G88" s="95">
        <f t="shared" si="2"/>
        <v>90024.641959999994</v>
      </c>
      <c r="H88" s="102" t="str">
        <f t="shared" si="3"/>
        <v/>
      </c>
      <c r="I88" s="90"/>
      <c r="J88" s="154"/>
      <c r="K88" s="154"/>
      <c r="L88" s="154"/>
      <c r="M88" s="154"/>
      <c r="N88" s="154"/>
      <c r="O88" s="154"/>
    </row>
    <row r="89" spans="1:15" ht="15" customHeight="1" x14ac:dyDescent="0.25">
      <c r="A89" s="161" t="s">
        <v>47</v>
      </c>
      <c r="B89" s="173" t="s">
        <v>797</v>
      </c>
      <c r="C89" s="174"/>
      <c r="D89" s="122"/>
      <c r="E89" s="165"/>
      <c r="F89" s="165"/>
      <c r="G89" s="109">
        <f t="shared" si="2"/>
        <v>0</v>
      </c>
      <c r="H89" s="113" t="str">
        <f t="shared" si="3"/>
        <v/>
      </c>
      <c r="I89" s="110"/>
      <c r="J89" s="154"/>
      <c r="K89" s="154"/>
      <c r="L89" s="154"/>
      <c r="M89" s="154"/>
      <c r="N89" s="154"/>
      <c r="O89" s="154"/>
    </row>
    <row r="90" spans="1:15" ht="15" customHeight="1" x14ac:dyDescent="0.25">
      <c r="A90" s="161" t="s">
        <v>47</v>
      </c>
      <c r="B90" s="163" t="s">
        <v>186</v>
      </c>
      <c r="C90" s="169"/>
      <c r="D90" s="166">
        <v>0</v>
      </c>
      <c r="E90" s="166">
        <v>2303.0236689768349</v>
      </c>
      <c r="F90" s="166">
        <v>7620</v>
      </c>
      <c r="G90" s="95">
        <f t="shared" si="2"/>
        <v>0</v>
      </c>
      <c r="H90" s="102" t="str">
        <f t="shared" si="3"/>
        <v/>
      </c>
      <c r="I90" s="90"/>
      <c r="J90" s="154"/>
      <c r="K90" s="154"/>
      <c r="L90" s="154"/>
      <c r="M90" s="154"/>
      <c r="N90" s="154"/>
      <c r="O90" s="154"/>
    </row>
    <row r="91" spans="1:15" ht="15" customHeight="1" x14ac:dyDescent="0.25">
      <c r="A91" s="161" t="s">
        <v>47</v>
      </c>
      <c r="B91" s="175" t="s">
        <v>8</v>
      </c>
      <c r="C91" s="343">
        <f>SUMIFS((C7:C90),(A7:A90),A91)</f>
        <v>120936.80364912664</v>
      </c>
      <c r="D91" s="176">
        <f>SUMIFS((D7:D90),(A7:A90),A91)</f>
        <v>-30501.609226428729</v>
      </c>
      <c r="E91" s="176">
        <f>SUMIFS((E7:E90),(A7:A90),A91)</f>
        <v>9809.0810895249488</v>
      </c>
      <c r="F91" s="176">
        <f>SUMIFS((F7:F90),(A7:A90),A91)</f>
        <v>21255.085968598571</v>
      </c>
      <c r="G91" s="116">
        <f t="shared" si="2"/>
        <v>151438.41287555537</v>
      </c>
      <c r="H91" s="117" t="str">
        <f t="shared" si="3"/>
        <v>-496,5%▼</v>
      </c>
      <c r="I91" s="118"/>
      <c r="J91" s="154"/>
      <c r="K91" s="154"/>
      <c r="L91" s="154"/>
      <c r="M91" s="154"/>
      <c r="N91" s="154"/>
      <c r="O91" s="154"/>
    </row>
    <row r="92" spans="1:15" ht="15" customHeight="1" x14ac:dyDescent="0.25">
      <c r="A92" s="48" t="s">
        <v>48</v>
      </c>
      <c r="B92" s="163"/>
      <c r="C92" s="166"/>
      <c r="D92" s="166"/>
      <c r="E92" s="166"/>
      <c r="F92" s="166">
        <v>0</v>
      </c>
      <c r="G92" s="95">
        <f t="shared" si="2"/>
        <v>0</v>
      </c>
      <c r="H92" s="102" t="str">
        <f t="shared" si="3"/>
        <v/>
      </c>
      <c r="I92" s="90"/>
      <c r="J92" s="12"/>
      <c r="K92" s="12"/>
      <c r="L92" s="12"/>
      <c r="M92" s="12"/>
      <c r="N92" s="12"/>
      <c r="O92" s="12"/>
    </row>
    <row r="93" spans="1:15" ht="15" customHeight="1" x14ac:dyDescent="0.25">
      <c r="A93" s="159" t="s">
        <v>48</v>
      </c>
      <c r="B93" s="167" t="s">
        <v>49</v>
      </c>
      <c r="C93" s="168"/>
      <c r="D93" s="165"/>
      <c r="E93" s="165"/>
      <c r="F93" s="165"/>
      <c r="G93" s="109">
        <f t="shared" si="2"/>
        <v>0</v>
      </c>
      <c r="H93" s="113" t="str">
        <f t="shared" si="3"/>
        <v/>
      </c>
      <c r="I93" s="110"/>
      <c r="J93" s="154"/>
      <c r="K93" s="154"/>
      <c r="L93" s="154"/>
      <c r="M93" s="154"/>
      <c r="N93" s="154"/>
      <c r="O93" s="154"/>
    </row>
    <row r="94" spans="1:15" ht="15" customHeight="1" x14ac:dyDescent="0.25">
      <c r="A94" s="159" t="s">
        <v>48</v>
      </c>
      <c r="B94" s="163" t="s">
        <v>759</v>
      </c>
      <c r="C94" s="169"/>
      <c r="D94" s="166"/>
      <c r="E94" s="166"/>
      <c r="F94" s="166"/>
      <c r="G94" s="95">
        <f t="shared" si="2"/>
        <v>0</v>
      </c>
      <c r="H94" s="102" t="str">
        <f t="shared" si="3"/>
        <v/>
      </c>
      <c r="I94" s="90"/>
      <c r="J94" s="154"/>
      <c r="K94" s="154"/>
      <c r="L94" s="154"/>
      <c r="M94" s="154"/>
      <c r="N94" s="154"/>
      <c r="O94" s="154"/>
    </row>
    <row r="95" spans="1:15" ht="15" customHeight="1" x14ac:dyDescent="0.25">
      <c r="A95" s="159" t="s">
        <v>48</v>
      </c>
      <c r="B95" s="173" t="s">
        <v>760</v>
      </c>
      <c r="C95" s="174"/>
      <c r="D95" s="122"/>
      <c r="E95" s="122"/>
      <c r="F95" s="122"/>
      <c r="G95" s="109">
        <f t="shared" si="2"/>
        <v>0</v>
      </c>
      <c r="H95" s="113" t="str">
        <f t="shared" si="3"/>
        <v/>
      </c>
      <c r="I95" s="115"/>
      <c r="J95" s="154"/>
      <c r="K95" s="154"/>
      <c r="L95" s="154"/>
      <c r="M95" s="154"/>
      <c r="N95" s="154"/>
      <c r="O95" s="154"/>
    </row>
    <row r="96" spans="1:15" ht="15" customHeight="1" x14ac:dyDescent="0.25">
      <c r="A96" s="159" t="s">
        <v>48</v>
      </c>
      <c r="B96" s="163" t="s">
        <v>761</v>
      </c>
      <c r="C96" s="169"/>
      <c r="D96" s="166"/>
      <c r="E96" s="166"/>
      <c r="F96" s="166"/>
      <c r="G96" s="95">
        <f t="shared" si="2"/>
        <v>0</v>
      </c>
      <c r="H96" s="102" t="str">
        <f t="shared" si="3"/>
        <v/>
      </c>
      <c r="I96" s="90"/>
      <c r="J96" s="154"/>
      <c r="K96" s="154"/>
      <c r="L96" s="154"/>
      <c r="M96" s="154"/>
      <c r="N96" s="154"/>
      <c r="O96" s="154"/>
    </row>
    <row r="97" spans="1:15" ht="15" customHeight="1" x14ac:dyDescent="0.25">
      <c r="A97" s="159" t="s">
        <v>48</v>
      </c>
      <c r="B97" s="167" t="s">
        <v>762</v>
      </c>
      <c r="C97" s="168">
        <f>+'2020'!F52/1000</f>
        <v>4637.1857300000001</v>
      </c>
      <c r="D97" s="165">
        <f>+'2019'!J270/1000</f>
        <v>6793.1791499999999</v>
      </c>
      <c r="E97" s="165">
        <v>7408.1716500000002</v>
      </c>
      <c r="F97" s="109">
        <v>7315.4715200000001</v>
      </c>
      <c r="G97" s="109">
        <f t="shared" si="2"/>
        <v>-2155.9934199999998</v>
      </c>
      <c r="H97" s="113" t="str">
        <f t="shared" si="3"/>
        <v>-31,7%▼</v>
      </c>
      <c r="I97" s="110"/>
      <c r="J97" s="154"/>
      <c r="K97" s="154"/>
      <c r="L97" s="154"/>
      <c r="M97" s="154"/>
      <c r="N97" s="154"/>
      <c r="O97" s="154"/>
    </row>
    <row r="98" spans="1:15" ht="15" customHeight="1" x14ac:dyDescent="0.25">
      <c r="A98" s="159" t="s">
        <v>48</v>
      </c>
      <c r="B98" s="163" t="s">
        <v>763</v>
      </c>
      <c r="C98" s="169"/>
      <c r="D98" s="166"/>
      <c r="E98" s="166"/>
      <c r="F98" s="166"/>
      <c r="G98" s="95">
        <f t="shared" si="2"/>
        <v>0</v>
      </c>
      <c r="H98" s="102" t="str">
        <f t="shared" si="3"/>
        <v/>
      </c>
      <c r="I98" s="90"/>
      <c r="J98" s="154"/>
      <c r="K98" s="154"/>
      <c r="L98" s="154"/>
      <c r="M98" s="154"/>
      <c r="N98" s="154"/>
      <c r="O98" s="154"/>
    </row>
    <row r="99" spans="1:15" ht="15" customHeight="1" x14ac:dyDescent="0.25">
      <c r="A99" s="159" t="s">
        <v>48</v>
      </c>
      <c r="B99" s="173" t="s">
        <v>764</v>
      </c>
      <c r="C99" s="174"/>
      <c r="D99" s="122"/>
      <c r="E99" s="122"/>
      <c r="F99" s="122"/>
      <c r="G99" s="109">
        <f t="shared" si="2"/>
        <v>0</v>
      </c>
      <c r="H99" s="113" t="str">
        <f t="shared" si="3"/>
        <v/>
      </c>
      <c r="I99" s="115"/>
      <c r="J99" s="154"/>
      <c r="K99" s="154"/>
      <c r="L99" s="154"/>
      <c r="M99" s="154"/>
      <c r="N99" s="154"/>
      <c r="O99" s="154"/>
    </row>
    <row r="100" spans="1:15" ht="15" customHeight="1" x14ac:dyDescent="0.25">
      <c r="A100" s="159" t="s">
        <v>48</v>
      </c>
      <c r="B100" s="170" t="s">
        <v>765</v>
      </c>
      <c r="C100" s="171"/>
      <c r="D100" s="121"/>
      <c r="E100" s="121"/>
      <c r="F100" s="121"/>
      <c r="G100" s="95">
        <f t="shared" si="2"/>
        <v>0</v>
      </c>
      <c r="H100" s="102" t="str">
        <f t="shared" si="3"/>
        <v/>
      </c>
      <c r="I100" s="111"/>
      <c r="J100" s="154"/>
      <c r="K100" s="154"/>
      <c r="L100" s="154"/>
      <c r="M100" s="154"/>
      <c r="N100" s="154"/>
      <c r="O100" s="154"/>
    </row>
    <row r="101" spans="1:15" ht="15" customHeight="1" x14ac:dyDescent="0.25">
      <c r="A101" s="159" t="s">
        <v>48</v>
      </c>
      <c r="B101" s="173" t="s">
        <v>766</v>
      </c>
      <c r="C101" s="174"/>
      <c r="D101" s="122"/>
      <c r="E101" s="122"/>
      <c r="F101" s="122"/>
      <c r="G101" s="109">
        <f t="shared" si="2"/>
        <v>0</v>
      </c>
      <c r="H101" s="113" t="str">
        <f t="shared" si="3"/>
        <v/>
      </c>
      <c r="I101" s="115"/>
      <c r="J101" s="154"/>
      <c r="K101" s="154"/>
      <c r="L101" s="154"/>
      <c r="M101" s="154"/>
      <c r="N101" s="154"/>
      <c r="O101" s="154"/>
    </row>
    <row r="102" spans="1:15" ht="15" customHeight="1" x14ac:dyDescent="0.25">
      <c r="A102" s="159" t="s">
        <v>48</v>
      </c>
      <c r="B102" s="163" t="s">
        <v>767</v>
      </c>
      <c r="C102" s="169"/>
      <c r="D102" s="166"/>
      <c r="E102" s="166"/>
      <c r="F102" s="166"/>
      <c r="G102" s="95">
        <f t="shared" si="2"/>
        <v>0</v>
      </c>
      <c r="H102" s="102" t="str">
        <f t="shared" si="3"/>
        <v/>
      </c>
      <c r="I102" s="90"/>
      <c r="J102" s="154"/>
      <c r="K102" s="154"/>
      <c r="L102" s="154"/>
      <c r="M102" s="154"/>
      <c r="N102" s="154"/>
      <c r="O102" s="154"/>
    </row>
    <row r="103" spans="1:15" ht="15" customHeight="1" x14ac:dyDescent="0.25">
      <c r="A103" s="159" t="s">
        <v>48</v>
      </c>
      <c r="B103" s="167" t="s">
        <v>768</v>
      </c>
      <c r="C103" s="168"/>
      <c r="D103" s="165"/>
      <c r="E103" s="165"/>
      <c r="F103" s="165"/>
      <c r="G103" s="109">
        <f t="shared" si="2"/>
        <v>0</v>
      </c>
      <c r="H103" s="113" t="str">
        <f t="shared" si="3"/>
        <v/>
      </c>
      <c r="I103" s="110"/>
      <c r="J103" s="154"/>
      <c r="K103" s="154"/>
      <c r="L103" s="154"/>
      <c r="M103" s="154"/>
      <c r="N103" s="154"/>
      <c r="O103" s="154"/>
    </row>
    <row r="104" spans="1:15" ht="15" customHeight="1" x14ac:dyDescent="0.25">
      <c r="A104" s="159" t="s">
        <v>48</v>
      </c>
      <c r="B104" s="170" t="s">
        <v>769</v>
      </c>
      <c r="C104" s="171"/>
      <c r="D104" s="121"/>
      <c r="E104" s="121"/>
      <c r="F104" s="121"/>
      <c r="G104" s="95">
        <f t="shared" si="2"/>
        <v>0</v>
      </c>
      <c r="H104" s="102" t="str">
        <f t="shared" si="3"/>
        <v/>
      </c>
      <c r="I104" s="111"/>
      <c r="J104" s="154"/>
      <c r="K104" s="154"/>
      <c r="L104" s="154"/>
      <c r="M104" s="154"/>
      <c r="N104" s="154"/>
      <c r="O104" s="154"/>
    </row>
    <row r="105" spans="1:15" ht="15" customHeight="1" x14ac:dyDescent="0.25">
      <c r="A105" s="159" t="s">
        <v>48</v>
      </c>
      <c r="B105" s="167" t="s">
        <v>770</v>
      </c>
      <c r="C105" s="168"/>
      <c r="D105" s="165"/>
      <c r="E105" s="165"/>
      <c r="F105" s="165"/>
      <c r="G105" s="109">
        <f t="shared" si="2"/>
        <v>0</v>
      </c>
      <c r="H105" s="113" t="str">
        <f t="shared" si="3"/>
        <v/>
      </c>
      <c r="I105" s="110"/>
      <c r="J105" s="154"/>
      <c r="K105" s="154"/>
      <c r="L105" s="154"/>
      <c r="M105" s="154"/>
      <c r="N105" s="154"/>
      <c r="O105" s="154"/>
    </row>
    <row r="106" spans="1:15" ht="15" customHeight="1" x14ac:dyDescent="0.25">
      <c r="A106" s="159" t="s">
        <v>48</v>
      </c>
      <c r="B106" s="170" t="s">
        <v>771</v>
      </c>
      <c r="C106" s="171"/>
      <c r="D106" s="121"/>
      <c r="E106" s="121"/>
      <c r="F106" s="121"/>
      <c r="G106" s="95">
        <f t="shared" si="2"/>
        <v>0</v>
      </c>
      <c r="H106" s="102" t="str">
        <f t="shared" si="3"/>
        <v/>
      </c>
      <c r="I106" s="111"/>
      <c r="J106" s="154"/>
      <c r="K106" s="154"/>
      <c r="L106" s="154"/>
      <c r="M106" s="154"/>
      <c r="N106" s="154"/>
      <c r="O106" s="154"/>
    </row>
    <row r="107" spans="1:15" ht="15" customHeight="1" x14ac:dyDescent="0.25">
      <c r="A107" s="159" t="s">
        <v>48</v>
      </c>
      <c r="B107" s="167" t="s">
        <v>772</v>
      </c>
      <c r="C107" s="168"/>
      <c r="D107" s="165">
        <f>+'2019'!L348/1000</f>
        <v>-3292</v>
      </c>
      <c r="E107" s="165">
        <v>-3263.04673</v>
      </c>
      <c r="F107" s="165">
        <v>-3187</v>
      </c>
      <c r="G107" s="109">
        <f t="shared" si="2"/>
        <v>3292</v>
      </c>
      <c r="H107" s="113" t="str">
        <f t="shared" si="3"/>
        <v>-100,0%▼</v>
      </c>
      <c r="I107" s="110"/>
      <c r="J107" s="154"/>
      <c r="K107" s="154"/>
      <c r="L107" s="154"/>
      <c r="M107" s="154"/>
      <c r="N107" s="154"/>
      <c r="O107" s="154"/>
    </row>
    <row r="108" spans="1:15" ht="15" customHeight="1" x14ac:dyDescent="0.25">
      <c r="A108" s="159" t="s">
        <v>48</v>
      </c>
      <c r="B108" s="170" t="s">
        <v>773</v>
      </c>
      <c r="C108" s="171"/>
      <c r="D108" s="121"/>
      <c r="E108" s="121"/>
      <c r="F108" s="121"/>
      <c r="G108" s="95">
        <f t="shared" si="2"/>
        <v>0</v>
      </c>
      <c r="H108" s="102" t="str">
        <f t="shared" si="3"/>
        <v/>
      </c>
      <c r="I108" s="111"/>
      <c r="J108" s="154"/>
      <c r="K108" s="154"/>
      <c r="L108" s="154"/>
      <c r="M108" s="154"/>
      <c r="N108" s="154"/>
      <c r="O108" s="154"/>
    </row>
    <row r="109" spans="1:15" ht="15" customHeight="1" x14ac:dyDescent="0.25">
      <c r="A109" s="159" t="s">
        <v>48</v>
      </c>
      <c r="B109" s="167" t="s">
        <v>774</v>
      </c>
      <c r="C109" s="168">
        <f>+'2020'!I24/1000</f>
        <v>-107239.01262000001</v>
      </c>
      <c r="D109" s="165">
        <f>+'2019'!K43/1000</f>
        <v>-130219.70748</v>
      </c>
      <c r="E109" s="165">
        <f>+('Ark1'!J45-'Ark1'!J44)/1000</f>
        <v>-183789.77</v>
      </c>
      <c r="F109" s="165">
        <f>+('[1]leasing, indtægter,tolke'!G94-'[1]leasing, indtægter,tolke'!E88)/1000</f>
        <v>-103788.59299999999</v>
      </c>
      <c r="G109" s="109">
        <f t="shared" si="2"/>
        <v>22980.694859999989</v>
      </c>
      <c r="H109" s="113" t="str">
        <f t="shared" si="3"/>
        <v>-17,6%▼</v>
      </c>
      <c r="I109" s="110"/>
      <c r="J109" s="154"/>
      <c r="K109" s="154"/>
      <c r="L109" s="154"/>
      <c r="M109" s="154"/>
      <c r="N109" s="154"/>
      <c r="O109" s="154"/>
    </row>
    <row r="110" spans="1:15" ht="15" customHeight="1" x14ac:dyDescent="0.25">
      <c r="A110" s="159" t="s">
        <v>48</v>
      </c>
      <c r="B110" s="170" t="s">
        <v>775</v>
      </c>
      <c r="C110" s="171">
        <f>+'2020'!I25/1000</f>
        <v>-3847.8715299999999</v>
      </c>
      <c r="D110" s="121">
        <f>+'2019'!K45/1000</f>
        <v>-5326.9172699999999</v>
      </c>
      <c r="E110" s="121">
        <f>+'Ark1'!J44/1000</f>
        <v>-838.45263</v>
      </c>
      <c r="F110" s="121">
        <f>+'[1]leasing, indtægter,tolke'!E88/1000</f>
        <v>-175.286</v>
      </c>
      <c r="G110" s="95">
        <f t="shared" si="2"/>
        <v>1479.04574</v>
      </c>
      <c r="H110" s="102" t="str">
        <f t="shared" si="3"/>
        <v>-27,8%▼</v>
      </c>
      <c r="I110" s="90"/>
      <c r="J110" s="154"/>
      <c r="K110" s="154"/>
      <c r="L110" s="154"/>
      <c r="M110" s="154"/>
      <c r="N110" s="154"/>
      <c r="O110" s="154"/>
    </row>
    <row r="111" spans="1:15" ht="15" customHeight="1" x14ac:dyDescent="0.25">
      <c r="A111" s="159" t="s">
        <v>48</v>
      </c>
      <c r="B111" s="167" t="s">
        <v>776</v>
      </c>
      <c r="C111" s="168"/>
      <c r="D111" s="165"/>
      <c r="E111" s="165"/>
      <c r="F111" s="165"/>
      <c r="G111" s="109">
        <f t="shared" si="2"/>
        <v>0</v>
      </c>
      <c r="H111" s="113" t="str">
        <f t="shared" si="3"/>
        <v/>
      </c>
      <c r="I111" s="110"/>
      <c r="J111" s="154"/>
      <c r="K111" s="154"/>
      <c r="L111" s="154"/>
      <c r="M111" s="154"/>
      <c r="N111" s="154"/>
      <c r="O111" s="154"/>
    </row>
    <row r="112" spans="1:15" s="40" customFormat="1" ht="15" customHeight="1" x14ac:dyDescent="0.25">
      <c r="A112" s="159" t="s">
        <v>48</v>
      </c>
      <c r="B112" s="170" t="s">
        <v>777</v>
      </c>
      <c r="C112" s="171">
        <f>+'2020'!E637/1000+'2020'!E664/1000</f>
        <v>5474.3645500000002</v>
      </c>
      <c r="D112" s="121">
        <f>+'2019'!J710/1000+'2019'!J760/1000</f>
        <v>3947.8441899999998</v>
      </c>
      <c r="E112" s="121">
        <v>2955.8653100000001</v>
      </c>
      <c r="F112" s="121">
        <v>4353.8901100000003</v>
      </c>
      <c r="G112" s="95">
        <f t="shared" si="2"/>
        <v>1526.5203600000004</v>
      </c>
      <c r="H112" s="102" t="str">
        <f t="shared" si="3"/>
        <v>38,7%▲</v>
      </c>
      <c r="I112" s="111"/>
      <c r="J112" s="39"/>
      <c r="K112" s="39"/>
      <c r="L112" s="39"/>
      <c r="M112" s="39"/>
      <c r="N112" s="39"/>
      <c r="O112" s="39"/>
    </row>
    <row r="113" spans="1:15" ht="15" customHeight="1" x14ac:dyDescent="0.25">
      <c r="A113" s="159" t="s">
        <v>48</v>
      </c>
      <c r="B113" s="167" t="s">
        <v>778</v>
      </c>
      <c r="C113" s="168">
        <v>149352.02000475631</v>
      </c>
      <c r="D113" s="165">
        <v>146699.58161774499</v>
      </c>
      <c r="E113" s="165">
        <v>86524.816635997093</v>
      </c>
      <c r="F113" s="165">
        <f>-('[1]leasing, indtægter,tolke'!M10+'[1]leasing, indtægter,tolke'!M11)+159875.556270079</f>
        <v>80443.251620078983</v>
      </c>
      <c r="G113" s="109">
        <f t="shared" si="2"/>
        <v>2652.4383870113234</v>
      </c>
      <c r="H113" s="113" t="str">
        <f t="shared" si="3"/>
        <v>1,8%</v>
      </c>
      <c r="I113" s="110"/>
      <c r="J113" s="154"/>
      <c r="K113" s="154"/>
      <c r="L113" s="154"/>
      <c r="M113" s="154"/>
      <c r="N113" s="154"/>
      <c r="O113" s="154"/>
    </row>
    <row r="114" spans="1:15" ht="15" customHeight="1" x14ac:dyDescent="0.25">
      <c r="A114" s="159" t="s">
        <v>48</v>
      </c>
      <c r="B114" s="163" t="s">
        <v>779</v>
      </c>
      <c r="C114" s="169">
        <f>+'2020'!I434/1000+'2020'!G492/1000</f>
        <v>13412.717329999999</v>
      </c>
      <c r="D114" s="166">
        <f>+'2019'!I492/1000</f>
        <v>11367.34376</v>
      </c>
      <c r="E114" s="166">
        <v>10256.18802</v>
      </c>
      <c r="F114" s="166">
        <v>10729.962530000001</v>
      </c>
      <c r="G114" s="95">
        <f t="shared" si="2"/>
        <v>2045.3735699999997</v>
      </c>
      <c r="H114" s="102" t="str">
        <f t="shared" si="3"/>
        <v>18,0%▲</v>
      </c>
      <c r="I114" s="90"/>
      <c r="J114" s="154"/>
      <c r="K114" s="154"/>
      <c r="L114" s="154"/>
      <c r="M114" s="154"/>
      <c r="N114" s="154"/>
      <c r="O114" s="154"/>
    </row>
    <row r="115" spans="1:15" ht="15" customHeight="1" x14ac:dyDescent="0.25">
      <c r="A115" s="159" t="s">
        <v>48</v>
      </c>
      <c r="B115" s="173" t="s">
        <v>780</v>
      </c>
      <c r="C115" s="174"/>
      <c r="D115" s="122"/>
      <c r="E115" s="122"/>
      <c r="F115" s="122"/>
      <c r="G115" s="109">
        <f t="shared" si="2"/>
        <v>0</v>
      </c>
      <c r="H115" s="113" t="str">
        <f t="shared" si="3"/>
        <v/>
      </c>
      <c r="I115" s="115"/>
      <c r="J115" s="154"/>
      <c r="K115" s="154"/>
      <c r="L115" s="154"/>
      <c r="M115" s="154"/>
      <c r="N115" s="154"/>
      <c r="O115" s="154"/>
    </row>
    <row r="116" spans="1:15" ht="15" customHeight="1" x14ac:dyDescent="0.25">
      <c r="A116" s="159" t="s">
        <v>48</v>
      </c>
      <c r="B116" s="163" t="s">
        <v>781</v>
      </c>
      <c r="C116" s="169">
        <f>+'2020'!D136/1000</f>
        <v>-48.38747</v>
      </c>
      <c r="D116" s="166">
        <f>+'2019'!C164/1000</f>
        <v>134.45258999999999</v>
      </c>
      <c r="E116" s="166"/>
      <c r="F116" s="166">
        <f>+'[1]leasing, indtægter,tolke'!F125/1000</f>
        <v>16.595680000000002</v>
      </c>
      <c r="G116" s="95">
        <f t="shared" si="2"/>
        <v>-182.84005999999999</v>
      </c>
      <c r="H116" s="102" t="str">
        <f t="shared" si="3"/>
        <v>-136,0%▼</v>
      </c>
      <c r="I116" s="90"/>
      <c r="J116" s="154"/>
      <c r="K116" s="154"/>
      <c r="L116" s="154"/>
      <c r="M116" s="154"/>
      <c r="N116" s="154"/>
      <c r="O116" s="154"/>
    </row>
    <row r="117" spans="1:15" ht="15" customHeight="1" x14ac:dyDescent="0.25">
      <c r="A117" s="159" t="s">
        <v>48</v>
      </c>
      <c r="B117" s="173" t="s">
        <v>782</v>
      </c>
      <c r="C117" s="174"/>
      <c r="D117" s="122"/>
      <c r="E117" s="122"/>
      <c r="F117" s="122"/>
      <c r="G117" s="109">
        <f t="shared" si="2"/>
        <v>0</v>
      </c>
      <c r="H117" s="113" t="str">
        <f t="shared" si="3"/>
        <v/>
      </c>
      <c r="I117" s="115"/>
      <c r="J117" s="154"/>
      <c r="K117" s="154"/>
      <c r="L117" s="154"/>
      <c r="M117" s="154"/>
      <c r="N117" s="154"/>
      <c r="O117" s="154"/>
    </row>
    <row r="118" spans="1:15" ht="15" customHeight="1" x14ac:dyDescent="0.25">
      <c r="A118" s="159" t="s">
        <v>48</v>
      </c>
      <c r="B118" s="163" t="s">
        <v>783</v>
      </c>
      <c r="C118" s="169"/>
      <c r="D118" s="166"/>
      <c r="E118" s="166"/>
      <c r="F118" s="166"/>
      <c r="G118" s="95">
        <f t="shared" si="2"/>
        <v>0</v>
      </c>
      <c r="H118" s="102" t="str">
        <f t="shared" si="3"/>
        <v/>
      </c>
      <c r="I118" s="90"/>
      <c r="J118" s="154"/>
      <c r="K118" s="154"/>
      <c r="L118" s="154"/>
      <c r="M118" s="154"/>
      <c r="N118" s="154"/>
      <c r="O118" s="154"/>
    </row>
    <row r="119" spans="1:15" ht="15" customHeight="1" x14ac:dyDescent="0.25">
      <c r="A119" s="159" t="s">
        <v>48</v>
      </c>
      <c r="B119" s="173" t="s">
        <v>784</v>
      </c>
      <c r="C119" s="174"/>
      <c r="D119" s="122"/>
      <c r="E119" s="122"/>
      <c r="F119" s="122"/>
      <c r="G119" s="109">
        <f t="shared" si="2"/>
        <v>0</v>
      </c>
      <c r="H119" s="113" t="str">
        <f t="shared" si="3"/>
        <v/>
      </c>
      <c r="I119" s="115"/>
      <c r="J119" s="154"/>
      <c r="K119" s="154"/>
      <c r="L119" s="154"/>
      <c r="M119" s="154"/>
      <c r="N119" s="154"/>
      <c r="O119" s="154"/>
    </row>
    <row r="120" spans="1:15" ht="15" customHeight="1" x14ac:dyDescent="0.25">
      <c r="A120" s="159" t="s">
        <v>48</v>
      </c>
      <c r="B120" s="163" t="s">
        <v>785</v>
      </c>
      <c r="C120" s="169"/>
      <c r="D120" s="166"/>
      <c r="E120" s="166"/>
      <c r="F120" s="166"/>
      <c r="G120" s="95">
        <f t="shared" si="2"/>
        <v>0</v>
      </c>
      <c r="H120" s="102" t="str">
        <f t="shared" si="3"/>
        <v/>
      </c>
      <c r="I120" s="90"/>
      <c r="J120" s="154"/>
      <c r="K120" s="154"/>
      <c r="L120" s="154"/>
      <c r="M120" s="154"/>
      <c r="N120" s="154"/>
      <c r="O120" s="154"/>
    </row>
    <row r="121" spans="1:15" ht="15" customHeight="1" x14ac:dyDescent="0.25">
      <c r="A121" s="159" t="s">
        <v>48</v>
      </c>
      <c r="B121" s="173" t="s">
        <v>786</v>
      </c>
      <c r="C121" s="174"/>
      <c r="D121" s="122"/>
      <c r="E121" s="122"/>
      <c r="F121" s="122"/>
      <c r="G121" s="109">
        <f t="shared" si="2"/>
        <v>0</v>
      </c>
      <c r="H121" s="113" t="str">
        <f t="shared" si="3"/>
        <v/>
      </c>
      <c r="I121" s="115"/>
      <c r="J121" s="154"/>
      <c r="K121" s="154"/>
      <c r="L121" s="154"/>
      <c r="M121" s="154"/>
      <c r="N121" s="154"/>
      <c r="O121" s="154"/>
    </row>
    <row r="122" spans="1:15" ht="15" customHeight="1" x14ac:dyDescent="0.25">
      <c r="A122" s="159" t="s">
        <v>48</v>
      </c>
      <c r="B122" s="163" t="s">
        <v>787</v>
      </c>
      <c r="C122" s="169"/>
      <c r="D122" s="166"/>
      <c r="E122" s="166"/>
      <c r="F122" s="166"/>
      <c r="G122" s="95">
        <f t="shared" si="2"/>
        <v>0</v>
      </c>
      <c r="H122" s="102" t="str">
        <f t="shared" si="3"/>
        <v/>
      </c>
      <c r="I122" s="90"/>
      <c r="J122" s="154"/>
      <c r="K122" s="154"/>
      <c r="L122" s="154"/>
      <c r="M122" s="154"/>
      <c r="N122" s="154"/>
      <c r="O122" s="154"/>
    </row>
    <row r="123" spans="1:15" ht="15" customHeight="1" x14ac:dyDescent="0.25">
      <c r="A123" s="159" t="s">
        <v>48</v>
      </c>
      <c r="B123" s="173" t="s">
        <v>788</v>
      </c>
      <c r="C123" s="174"/>
      <c r="D123" s="122"/>
      <c r="E123" s="122"/>
      <c r="F123" s="122"/>
      <c r="G123" s="109">
        <f t="shared" si="2"/>
        <v>0</v>
      </c>
      <c r="H123" s="113" t="str">
        <f t="shared" si="3"/>
        <v/>
      </c>
      <c r="I123" s="115"/>
      <c r="J123" s="154"/>
      <c r="K123" s="154"/>
      <c r="L123" s="154"/>
      <c r="M123" s="154"/>
      <c r="N123" s="154"/>
      <c r="O123" s="154"/>
    </row>
    <row r="124" spans="1:15" ht="15" customHeight="1" x14ac:dyDescent="0.25">
      <c r="A124" s="159" t="s">
        <v>48</v>
      </c>
      <c r="B124" s="163" t="s">
        <v>789</v>
      </c>
      <c r="C124" s="169">
        <f>+'2020'!E156/1000+'2020'!I184/1000</f>
        <v>2062.44022</v>
      </c>
      <c r="D124" s="166">
        <f>+'2019'!I137/1000</f>
        <v>1842.36158</v>
      </c>
      <c r="E124" s="166">
        <v>2775.05618</v>
      </c>
      <c r="F124" s="166">
        <f>+'[1]leasing, indtægter,tolke'!G56/1000</f>
        <v>3243.5664400000001</v>
      </c>
      <c r="G124" s="95">
        <f t="shared" si="2"/>
        <v>220.07863999999995</v>
      </c>
      <c r="H124" s="102" t="str">
        <f t="shared" si="3"/>
        <v>11,9%▲</v>
      </c>
      <c r="I124" s="90"/>
      <c r="J124" s="154"/>
      <c r="K124" s="154"/>
      <c r="L124" s="154"/>
      <c r="M124" s="154"/>
      <c r="N124" s="154"/>
      <c r="O124" s="154"/>
    </row>
    <row r="125" spans="1:15" ht="15" customHeight="1" x14ac:dyDescent="0.25">
      <c r="A125" s="159" t="s">
        <v>48</v>
      </c>
      <c r="B125" s="167" t="s">
        <v>790</v>
      </c>
      <c r="C125" s="168"/>
      <c r="D125" s="165"/>
      <c r="E125" s="165"/>
      <c r="F125" s="165"/>
      <c r="G125" s="109">
        <f t="shared" si="2"/>
        <v>0</v>
      </c>
      <c r="H125" s="113" t="str">
        <f t="shared" si="3"/>
        <v/>
      </c>
      <c r="I125" s="110"/>
      <c r="J125" s="154"/>
      <c r="K125" s="154"/>
      <c r="L125" s="154"/>
      <c r="M125" s="154"/>
      <c r="N125" s="154"/>
      <c r="O125" s="154"/>
    </row>
    <row r="126" spans="1:15" ht="15" customHeight="1" x14ac:dyDescent="0.25">
      <c r="A126" s="159" t="s">
        <v>48</v>
      </c>
      <c r="B126" s="170" t="s">
        <v>791</v>
      </c>
      <c r="C126" s="171"/>
      <c r="D126" s="121"/>
      <c r="E126" s="121"/>
      <c r="F126" s="121"/>
      <c r="G126" s="95">
        <f t="shared" si="2"/>
        <v>0</v>
      </c>
      <c r="H126" s="102" t="str">
        <f t="shared" si="3"/>
        <v/>
      </c>
      <c r="I126" s="111"/>
      <c r="J126" s="154"/>
      <c r="K126" s="154"/>
      <c r="L126" s="154"/>
      <c r="M126" s="154"/>
      <c r="N126" s="154"/>
      <c r="O126" s="154"/>
    </row>
    <row r="127" spans="1:15" ht="15" customHeight="1" x14ac:dyDescent="0.25">
      <c r="A127" s="159" t="s">
        <v>48</v>
      </c>
      <c r="B127" s="173" t="s">
        <v>792</v>
      </c>
      <c r="C127" s="174"/>
      <c r="D127" s="122"/>
      <c r="E127" s="122"/>
      <c r="F127" s="122"/>
      <c r="G127" s="109">
        <f t="shared" si="2"/>
        <v>0</v>
      </c>
      <c r="H127" s="113" t="str">
        <f t="shared" si="3"/>
        <v/>
      </c>
      <c r="I127" s="115"/>
      <c r="J127" s="154"/>
      <c r="K127" s="154"/>
      <c r="L127" s="154"/>
      <c r="M127" s="154"/>
      <c r="N127" s="154"/>
      <c r="O127" s="154"/>
    </row>
    <row r="128" spans="1:15" ht="15" customHeight="1" x14ac:dyDescent="0.25">
      <c r="A128" s="159" t="s">
        <v>48</v>
      </c>
      <c r="B128" s="170" t="s">
        <v>793</v>
      </c>
      <c r="C128" s="171"/>
      <c r="D128" s="121"/>
      <c r="E128" s="121"/>
      <c r="F128" s="121"/>
      <c r="G128" s="95">
        <f t="shared" si="2"/>
        <v>0</v>
      </c>
      <c r="H128" s="102" t="str">
        <f t="shared" si="3"/>
        <v/>
      </c>
      <c r="I128" s="111"/>
      <c r="J128" s="154"/>
      <c r="K128" s="154"/>
      <c r="L128" s="154"/>
      <c r="M128" s="154"/>
      <c r="N128" s="154"/>
      <c r="O128" s="154"/>
    </row>
    <row r="129" spans="1:15" ht="15" customHeight="1" x14ac:dyDescent="0.25">
      <c r="A129" s="159" t="s">
        <v>48</v>
      </c>
      <c r="B129" s="173" t="s">
        <v>794</v>
      </c>
      <c r="C129" s="174"/>
      <c r="D129" s="122"/>
      <c r="E129" s="122"/>
      <c r="F129" s="122"/>
      <c r="G129" s="109">
        <f t="shared" si="2"/>
        <v>0</v>
      </c>
      <c r="H129" s="113" t="str">
        <f t="shared" si="3"/>
        <v/>
      </c>
      <c r="I129" s="115"/>
      <c r="J129" s="154"/>
      <c r="K129" s="154"/>
      <c r="L129" s="154"/>
      <c r="M129" s="154"/>
      <c r="N129" s="154"/>
      <c r="O129" s="154"/>
    </row>
    <row r="130" spans="1:15" ht="15" customHeight="1" x14ac:dyDescent="0.25">
      <c r="A130" s="159" t="s">
        <v>48</v>
      </c>
      <c r="B130" s="170" t="s">
        <v>795</v>
      </c>
      <c r="C130" s="171"/>
      <c r="D130" s="121"/>
      <c r="E130" s="121"/>
      <c r="F130" s="121"/>
      <c r="G130" s="95">
        <f t="shared" si="2"/>
        <v>0</v>
      </c>
      <c r="H130" s="102" t="str">
        <f t="shared" si="3"/>
        <v/>
      </c>
      <c r="I130" s="111"/>
      <c r="J130" s="154"/>
      <c r="K130" s="154"/>
      <c r="L130" s="154"/>
      <c r="M130" s="154"/>
      <c r="N130" s="154"/>
      <c r="O130" s="154"/>
    </row>
    <row r="131" spans="1:15" ht="15" customHeight="1" x14ac:dyDescent="0.25">
      <c r="A131" s="159" t="s">
        <v>48</v>
      </c>
      <c r="B131" s="173" t="s">
        <v>796</v>
      </c>
      <c r="C131" s="174">
        <v>72207.3772284437</v>
      </c>
      <c r="D131" s="122"/>
      <c r="E131" s="122"/>
      <c r="F131" s="122"/>
      <c r="G131" s="109">
        <f t="shared" si="2"/>
        <v>72207.3772284437</v>
      </c>
      <c r="H131" s="113" t="str">
        <f t="shared" si="3"/>
        <v/>
      </c>
      <c r="I131" s="115"/>
      <c r="J131" s="154"/>
      <c r="K131" s="154"/>
      <c r="L131" s="154"/>
      <c r="M131" s="154"/>
      <c r="N131" s="154"/>
      <c r="O131" s="154"/>
    </row>
    <row r="132" spans="1:15" ht="15" customHeight="1" x14ac:dyDescent="0.25">
      <c r="A132" s="159" t="s">
        <v>48</v>
      </c>
      <c r="B132" s="170" t="s">
        <v>797</v>
      </c>
      <c r="C132" s="171"/>
      <c r="D132" s="121"/>
      <c r="E132" s="121"/>
      <c r="F132" s="121"/>
      <c r="G132" s="95">
        <f t="shared" si="2"/>
        <v>0</v>
      </c>
      <c r="H132" s="102" t="str">
        <f t="shared" si="3"/>
        <v/>
      </c>
      <c r="I132" s="111"/>
      <c r="J132" s="154"/>
      <c r="K132" s="154"/>
      <c r="L132" s="154"/>
      <c r="M132" s="154"/>
      <c r="N132" s="154"/>
      <c r="O132" s="154"/>
    </row>
    <row r="133" spans="1:15" ht="15" customHeight="1" x14ac:dyDescent="0.25">
      <c r="A133" s="159" t="s">
        <v>48</v>
      </c>
      <c r="B133" s="167" t="s">
        <v>186</v>
      </c>
      <c r="C133" s="168"/>
      <c r="D133" s="165">
        <v>0</v>
      </c>
      <c r="E133" s="165">
        <v>0</v>
      </c>
      <c r="F133" s="165"/>
      <c r="G133" s="109">
        <f t="shared" si="2"/>
        <v>0</v>
      </c>
      <c r="H133" s="113" t="str">
        <f t="shared" si="3"/>
        <v/>
      </c>
      <c r="I133" s="110"/>
      <c r="J133" s="154"/>
      <c r="K133" s="154"/>
      <c r="L133" s="154"/>
      <c r="M133" s="154"/>
      <c r="N133" s="154"/>
      <c r="O133" s="154"/>
    </row>
    <row r="134" spans="1:15" ht="15" customHeight="1" x14ac:dyDescent="0.25">
      <c r="A134" s="172" t="s">
        <v>48</v>
      </c>
      <c r="B134" s="203" t="s">
        <v>8</v>
      </c>
      <c r="C134" s="204">
        <f>SUMIFS((C7:C133),(A7:A133),A134)</f>
        <v>136010.83344319998</v>
      </c>
      <c r="D134" s="204">
        <f>SUMIFS((D7:D133),(A7:A133),A134)</f>
        <v>31946.138137744987</v>
      </c>
      <c r="E134" s="204">
        <f>SUMIFS((E7:E133),(A7:A133),A134)</f>
        <v>-77971.171564002914</v>
      </c>
      <c r="F134" s="204">
        <f>SUMIFS((F7:F133),(A7:A133),A134)</f>
        <v>-1048.1410999210025</v>
      </c>
      <c r="G134" s="200">
        <f t="shared" si="2"/>
        <v>104064.695305455</v>
      </c>
      <c r="H134" s="201" t="str">
        <f t="shared" si="3"/>
        <v>325,8%▲</v>
      </c>
      <c r="I134" s="205"/>
      <c r="J134" s="154"/>
      <c r="K134" s="154"/>
      <c r="L134" s="154"/>
      <c r="M134" s="154"/>
      <c r="N134" s="154"/>
      <c r="O134" s="154"/>
    </row>
    <row r="135" spans="1:15" ht="15" customHeight="1" x14ac:dyDescent="0.25">
      <c r="A135" s="48" t="s">
        <v>46</v>
      </c>
      <c r="B135" s="167"/>
      <c r="C135" s="165"/>
      <c r="D135" s="165"/>
      <c r="E135" s="165"/>
      <c r="F135" s="165">
        <v>0</v>
      </c>
      <c r="G135" s="109">
        <f t="shared" ref="G135:G198" si="4">IF(ISERROR(C135- D135)=TRUE,"",C135 - D135)</f>
        <v>0</v>
      </c>
      <c r="H135" s="113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/>
      </c>
      <c r="I135" s="110"/>
      <c r="J135" s="12"/>
      <c r="K135" s="12"/>
      <c r="L135" s="12"/>
      <c r="M135" s="12"/>
      <c r="N135" s="12"/>
      <c r="O135" s="12"/>
    </row>
    <row r="136" spans="1:15" ht="15" customHeight="1" x14ac:dyDescent="0.25">
      <c r="A136" s="159" t="s">
        <v>46</v>
      </c>
      <c r="B136" s="163" t="s">
        <v>49</v>
      </c>
      <c r="C136" s="169"/>
      <c r="D136" s="166"/>
      <c r="E136" s="166"/>
      <c r="F136" s="166"/>
      <c r="G136" s="95">
        <f t="shared" si="4"/>
        <v>0</v>
      </c>
      <c r="H136" s="102" t="str">
        <f t="shared" si="5"/>
        <v/>
      </c>
      <c r="I136" s="90"/>
      <c r="J136" s="154"/>
      <c r="K136" s="154"/>
      <c r="L136" s="154"/>
      <c r="M136" s="154"/>
      <c r="N136" s="154"/>
      <c r="O136" s="154"/>
    </row>
    <row r="137" spans="1:15" ht="15" customHeight="1" x14ac:dyDescent="0.25">
      <c r="A137" s="159" t="s">
        <v>46</v>
      </c>
      <c r="B137" s="173" t="s">
        <v>759</v>
      </c>
      <c r="C137" s="174"/>
      <c r="D137" s="122"/>
      <c r="E137" s="122"/>
      <c r="F137" s="122"/>
      <c r="G137" s="109">
        <f t="shared" si="4"/>
        <v>0</v>
      </c>
      <c r="H137" s="113" t="str">
        <f t="shared" si="5"/>
        <v/>
      </c>
      <c r="I137" s="115"/>
      <c r="J137" s="154"/>
      <c r="K137" s="154"/>
      <c r="L137" s="154"/>
      <c r="M137" s="154"/>
      <c r="N137" s="154"/>
      <c r="O137" s="154"/>
    </row>
    <row r="138" spans="1:15" ht="15" customHeight="1" x14ac:dyDescent="0.25">
      <c r="A138" s="159" t="s">
        <v>46</v>
      </c>
      <c r="B138" s="163" t="s">
        <v>760</v>
      </c>
      <c r="C138" s="169"/>
      <c r="D138" s="166"/>
      <c r="E138" s="166"/>
      <c r="F138" s="166"/>
      <c r="G138" s="95">
        <f t="shared" si="4"/>
        <v>0</v>
      </c>
      <c r="H138" s="102" t="str">
        <f t="shared" si="5"/>
        <v/>
      </c>
      <c r="I138" s="90"/>
      <c r="J138" s="154"/>
      <c r="K138" s="154"/>
      <c r="L138" s="154"/>
      <c r="M138" s="154"/>
      <c r="N138" s="154"/>
      <c r="O138" s="154"/>
    </row>
    <row r="139" spans="1:15" ht="15" customHeight="1" x14ac:dyDescent="0.25">
      <c r="A139" s="159" t="s">
        <v>46</v>
      </c>
      <c r="B139" s="167" t="s">
        <v>761</v>
      </c>
      <c r="C139" s="168"/>
      <c r="D139" s="165"/>
      <c r="E139" s="165"/>
      <c r="F139" s="165"/>
      <c r="G139" s="109">
        <f t="shared" si="4"/>
        <v>0</v>
      </c>
      <c r="H139" s="113" t="str">
        <f t="shared" si="5"/>
        <v/>
      </c>
      <c r="I139" s="110"/>
      <c r="J139" s="154"/>
      <c r="K139" s="154"/>
      <c r="L139" s="154"/>
      <c r="M139" s="154"/>
      <c r="N139" s="154"/>
      <c r="O139" s="154"/>
    </row>
    <row r="140" spans="1:15" ht="15" customHeight="1" x14ac:dyDescent="0.25">
      <c r="A140" s="159" t="s">
        <v>46</v>
      </c>
      <c r="B140" s="170" t="s">
        <v>762</v>
      </c>
      <c r="C140" s="171">
        <f>+'2020'!F48/1000</f>
        <v>4781.9880599999997</v>
      </c>
      <c r="D140" s="121">
        <f>+'2019'!J219/1000</f>
        <v>6937.4260799999984</v>
      </c>
      <c r="E140" s="121">
        <v>6875.8554700000004</v>
      </c>
      <c r="F140" s="121">
        <v>5974.3100199999999</v>
      </c>
      <c r="G140" s="95">
        <f t="shared" si="4"/>
        <v>-2155.4380199999987</v>
      </c>
      <c r="H140" s="102" t="str">
        <f t="shared" si="5"/>
        <v>-31,1%▼</v>
      </c>
      <c r="I140" s="111"/>
      <c r="J140" s="154"/>
      <c r="K140" s="154"/>
      <c r="L140" s="154"/>
      <c r="M140" s="154"/>
      <c r="N140" s="154"/>
      <c r="O140" s="154"/>
    </row>
    <row r="141" spans="1:15" ht="15" customHeight="1" x14ac:dyDescent="0.25">
      <c r="A141" s="159" t="s">
        <v>46</v>
      </c>
      <c r="B141" s="173" t="s">
        <v>763</v>
      </c>
      <c r="C141" s="174"/>
      <c r="D141" s="122"/>
      <c r="E141" s="122"/>
      <c r="F141" s="122"/>
      <c r="G141" s="109">
        <f t="shared" si="4"/>
        <v>0</v>
      </c>
      <c r="H141" s="113" t="str">
        <f t="shared" si="5"/>
        <v/>
      </c>
      <c r="I141" s="115"/>
      <c r="J141" s="154"/>
      <c r="K141" s="154"/>
      <c r="L141" s="154"/>
      <c r="M141" s="154"/>
      <c r="N141" s="154"/>
      <c r="O141" s="154"/>
    </row>
    <row r="142" spans="1:15" ht="15" customHeight="1" x14ac:dyDescent="0.25">
      <c r="A142" s="159" t="s">
        <v>46</v>
      </c>
      <c r="B142" s="163" t="s">
        <v>764</v>
      </c>
      <c r="C142" s="169"/>
      <c r="D142" s="166"/>
      <c r="E142" s="166"/>
      <c r="F142" s="166"/>
      <c r="G142" s="95">
        <f t="shared" si="4"/>
        <v>0</v>
      </c>
      <c r="H142" s="102" t="str">
        <f t="shared" si="5"/>
        <v/>
      </c>
      <c r="I142" s="90"/>
      <c r="J142" s="154"/>
      <c r="K142" s="154"/>
      <c r="L142" s="154"/>
      <c r="M142" s="154"/>
      <c r="N142" s="154"/>
      <c r="O142" s="154"/>
    </row>
    <row r="143" spans="1:15" ht="15" customHeight="1" x14ac:dyDescent="0.25">
      <c r="A143" s="159" t="s">
        <v>46</v>
      </c>
      <c r="B143" s="167" t="s">
        <v>765</v>
      </c>
      <c r="C143" s="168"/>
      <c r="D143" s="165"/>
      <c r="E143" s="165"/>
      <c r="F143" s="165"/>
      <c r="G143" s="109">
        <f t="shared" si="4"/>
        <v>0</v>
      </c>
      <c r="H143" s="113" t="str">
        <f t="shared" si="5"/>
        <v/>
      </c>
      <c r="I143" s="110"/>
      <c r="J143" s="154"/>
      <c r="K143" s="154"/>
      <c r="L143" s="154"/>
      <c r="M143" s="154"/>
      <c r="N143" s="154"/>
      <c r="O143" s="154"/>
    </row>
    <row r="144" spans="1:15" ht="15" customHeight="1" x14ac:dyDescent="0.25">
      <c r="A144" s="159" t="s">
        <v>46</v>
      </c>
      <c r="B144" s="163" t="s">
        <v>766</v>
      </c>
      <c r="C144" s="169"/>
      <c r="D144" s="166"/>
      <c r="E144" s="166"/>
      <c r="F144" s="166"/>
      <c r="G144" s="95">
        <f t="shared" si="4"/>
        <v>0</v>
      </c>
      <c r="H144" s="102" t="str">
        <f t="shared" si="5"/>
        <v/>
      </c>
      <c r="I144" s="90"/>
      <c r="J144" s="154"/>
      <c r="K144" s="154"/>
      <c r="L144" s="154"/>
      <c r="M144" s="154"/>
      <c r="N144" s="154"/>
      <c r="O144" s="154"/>
    </row>
    <row r="145" spans="1:15" ht="15" customHeight="1" x14ac:dyDescent="0.25">
      <c r="A145" s="159" t="s">
        <v>46</v>
      </c>
      <c r="B145" s="173" t="s">
        <v>767</v>
      </c>
      <c r="C145" s="174"/>
      <c r="D145" s="122"/>
      <c r="E145" s="122"/>
      <c r="F145" s="122"/>
      <c r="G145" s="109">
        <f t="shared" si="4"/>
        <v>0</v>
      </c>
      <c r="H145" s="113" t="str">
        <f t="shared" si="5"/>
        <v/>
      </c>
      <c r="I145" s="115"/>
      <c r="J145" s="154"/>
      <c r="K145" s="154"/>
      <c r="L145" s="154"/>
      <c r="M145" s="154"/>
      <c r="N145" s="154"/>
      <c r="O145" s="154"/>
    </row>
    <row r="146" spans="1:15" ht="15" customHeight="1" x14ac:dyDescent="0.25">
      <c r="A146" s="159" t="s">
        <v>46</v>
      </c>
      <c r="B146" s="170" t="s">
        <v>768</v>
      </c>
      <c r="C146" s="171"/>
      <c r="D146" s="121"/>
      <c r="E146" s="121"/>
      <c r="F146" s="121"/>
      <c r="G146" s="95">
        <f t="shared" si="4"/>
        <v>0</v>
      </c>
      <c r="H146" s="102" t="str">
        <f t="shared" si="5"/>
        <v/>
      </c>
      <c r="I146" s="111"/>
      <c r="J146" s="154"/>
      <c r="K146" s="154"/>
      <c r="L146" s="154"/>
      <c r="M146" s="154"/>
      <c r="N146" s="154"/>
      <c r="O146" s="154"/>
    </row>
    <row r="147" spans="1:15" ht="15" customHeight="1" x14ac:dyDescent="0.25">
      <c r="A147" s="159" t="s">
        <v>46</v>
      </c>
      <c r="B147" s="167" t="s">
        <v>769</v>
      </c>
      <c r="C147" s="168"/>
      <c r="D147" s="165"/>
      <c r="E147" s="165"/>
      <c r="F147" s="165"/>
      <c r="G147" s="109">
        <f t="shared" si="4"/>
        <v>0</v>
      </c>
      <c r="H147" s="113" t="str">
        <f t="shared" si="5"/>
        <v/>
      </c>
      <c r="I147" s="110"/>
      <c r="J147" s="154"/>
      <c r="K147" s="154"/>
      <c r="L147" s="154"/>
      <c r="M147" s="154"/>
      <c r="N147" s="154"/>
      <c r="O147" s="154"/>
    </row>
    <row r="148" spans="1:15" ht="15" customHeight="1" x14ac:dyDescent="0.25">
      <c r="A148" s="159" t="s">
        <v>46</v>
      </c>
      <c r="B148" s="170" t="s">
        <v>770</v>
      </c>
      <c r="C148" s="171"/>
      <c r="D148" s="121"/>
      <c r="E148" s="121"/>
      <c r="F148" s="121"/>
      <c r="G148" s="95">
        <f t="shared" si="4"/>
        <v>0</v>
      </c>
      <c r="H148" s="102" t="str">
        <f t="shared" si="5"/>
        <v/>
      </c>
      <c r="I148" s="111"/>
      <c r="J148" s="154"/>
      <c r="K148" s="154"/>
      <c r="L148" s="154"/>
      <c r="M148" s="154"/>
      <c r="N148" s="154"/>
      <c r="O148" s="154"/>
    </row>
    <row r="149" spans="1:15" ht="15" customHeight="1" x14ac:dyDescent="0.25">
      <c r="A149" s="159" t="s">
        <v>46</v>
      </c>
      <c r="B149" s="167" t="s">
        <v>771</v>
      </c>
      <c r="C149" s="168"/>
      <c r="D149" s="165"/>
      <c r="E149" s="165"/>
      <c r="F149" s="165"/>
      <c r="G149" s="109">
        <f t="shared" si="4"/>
        <v>0</v>
      </c>
      <c r="H149" s="113" t="str">
        <f t="shared" si="5"/>
        <v/>
      </c>
      <c r="I149" s="110"/>
      <c r="J149" s="154"/>
      <c r="K149" s="154"/>
      <c r="L149" s="154"/>
      <c r="M149" s="154"/>
      <c r="N149" s="154"/>
      <c r="O149" s="154"/>
    </row>
    <row r="150" spans="1:15" s="40" customFormat="1" ht="15" customHeight="1" x14ac:dyDescent="0.25">
      <c r="A150" s="159" t="s">
        <v>46</v>
      </c>
      <c r="B150" s="170" t="s">
        <v>772</v>
      </c>
      <c r="C150" s="171"/>
      <c r="D150" s="121">
        <f>+'2019'!L341/1000</f>
        <v>-4796.95</v>
      </c>
      <c r="E150" s="121">
        <v>-4753.9183700000003</v>
      </c>
      <c r="F150" s="121">
        <v>-4646</v>
      </c>
      <c r="G150" s="95">
        <f t="shared" si="4"/>
        <v>4796.95</v>
      </c>
      <c r="H150" s="102" t="str">
        <f t="shared" si="5"/>
        <v>-100,0%▼</v>
      </c>
      <c r="I150" s="110"/>
      <c r="J150" s="39"/>
      <c r="K150" s="39"/>
      <c r="L150" s="39"/>
      <c r="M150" s="39"/>
      <c r="N150" s="39"/>
      <c r="O150" s="39"/>
    </row>
    <row r="151" spans="1:15" ht="15" customHeight="1" x14ac:dyDescent="0.25">
      <c r="A151" s="159" t="s">
        <v>46</v>
      </c>
      <c r="B151" s="167" t="s">
        <v>773</v>
      </c>
      <c r="C151" s="168"/>
      <c r="D151" s="165"/>
      <c r="E151" s="165"/>
      <c r="F151" s="165"/>
      <c r="G151" s="109">
        <f t="shared" si="4"/>
        <v>0</v>
      </c>
      <c r="H151" s="113" t="str">
        <f t="shared" si="5"/>
        <v/>
      </c>
      <c r="I151" s="110"/>
      <c r="J151" s="154"/>
      <c r="K151" s="154"/>
      <c r="L151" s="154"/>
      <c r="M151" s="154"/>
      <c r="N151" s="154"/>
      <c r="O151" s="154"/>
    </row>
    <row r="152" spans="1:15" ht="15" customHeight="1" x14ac:dyDescent="0.25">
      <c r="A152" s="159" t="s">
        <v>46</v>
      </c>
      <c r="B152" s="170" t="s">
        <v>774</v>
      </c>
      <c r="C152" s="171">
        <f>+'2020'!I16/1000</f>
        <v>-242753.90740999999</v>
      </c>
      <c r="D152" s="121">
        <f>+'2019'!K27/1000</f>
        <v>-226366.03400000001</v>
      </c>
      <c r="E152" s="121">
        <f>+('Ark1'!J30-'Ark1'!J29)/1000</f>
        <v>-222618.08799999999</v>
      </c>
      <c r="F152" s="121">
        <f>+('[1]leasing, indtægter,tolke'!G79-'[1]leasing, indtægter,tolke'!E75)/1000</f>
        <v>-242729.29908000003</v>
      </c>
      <c r="G152" s="95">
        <f t="shared" si="4"/>
        <v>-16387.873409999971</v>
      </c>
      <c r="H152" s="102" t="str">
        <f t="shared" si="5"/>
        <v>7,2%▲</v>
      </c>
      <c r="I152" s="111"/>
      <c r="J152" s="154"/>
      <c r="K152" s="154"/>
      <c r="L152" s="154"/>
      <c r="M152" s="154"/>
      <c r="N152" s="154"/>
      <c r="O152" s="154"/>
    </row>
    <row r="153" spans="1:15" ht="15" customHeight="1" x14ac:dyDescent="0.25">
      <c r="A153" s="159" t="s">
        <v>46</v>
      </c>
      <c r="B153" s="167" t="s">
        <v>775</v>
      </c>
      <c r="C153" s="168">
        <f>+'2020'!I17/1000</f>
        <v>-5714.0897100000002</v>
      </c>
      <c r="D153" s="165">
        <f>+'2019'!K29/1000</f>
        <v>-6210.2166699999998</v>
      </c>
      <c r="E153" s="165">
        <f>+'Ark1'!J29/1000</f>
        <v>-2346.0500200000001</v>
      </c>
      <c r="F153" s="165">
        <f>+'[1]leasing, indtægter,tolke'!E75/1000</f>
        <v>-1855.4929999999999</v>
      </c>
      <c r="G153" s="109">
        <f t="shared" si="4"/>
        <v>496.1269599999996</v>
      </c>
      <c r="H153" s="113" t="str">
        <f t="shared" si="5"/>
        <v>-8,0%▼</v>
      </c>
      <c r="I153" s="110"/>
      <c r="J153" s="154"/>
      <c r="K153" s="154"/>
      <c r="L153" s="154"/>
      <c r="M153" s="154"/>
      <c r="N153" s="154"/>
      <c r="O153" s="154"/>
    </row>
    <row r="154" spans="1:15" ht="15" customHeight="1" x14ac:dyDescent="0.25">
      <c r="A154" s="159" t="s">
        <v>46</v>
      </c>
      <c r="B154" s="170" t="s">
        <v>776</v>
      </c>
      <c r="C154" s="171"/>
      <c r="D154" s="121"/>
      <c r="E154" s="121"/>
      <c r="F154" s="121"/>
      <c r="G154" s="95">
        <f t="shared" si="4"/>
        <v>0</v>
      </c>
      <c r="H154" s="102" t="str">
        <f t="shared" si="5"/>
        <v/>
      </c>
      <c r="I154" s="111"/>
      <c r="J154" s="154"/>
      <c r="K154" s="154"/>
      <c r="L154" s="154"/>
      <c r="M154" s="154"/>
      <c r="N154" s="154"/>
      <c r="O154" s="154"/>
    </row>
    <row r="155" spans="1:15" ht="15" customHeight="1" x14ac:dyDescent="0.25">
      <c r="A155" s="159" t="s">
        <v>46</v>
      </c>
      <c r="B155" s="173" t="s">
        <v>777</v>
      </c>
      <c r="C155" s="174">
        <f>+'2020'!I621/1000</f>
        <v>4132.9846299999999</v>
      </c>
      <c r="D155" s="122">
        <f>+'2019'!J689/1000</f>
        <v>3417.5042799999997</v>
      </c>
      <c r="E155" s="122">
        <v>2694.3798099999999</v>
      </c>
      <c r="F155" s="122">
        <v>4381.1373700000004</v>
      </c>
      <c r="G155" s="109">
        <f t="shared" si="4"/>
        <v>715.48035000000027</v>
      </c>
      <c r="H155" s="113" t="str">
        <f t="shared" si="5"/>
        <v>20,9%▲</v>
      </c>
      <c r="I155" s="115"/>
      <c r="J155" s="154"/>
      <c r="K155" s="154"/>
      <c r="L155" s="154"/>
      <c r="M155" s="154"/>
      <c r="N155" s="154"/>
      <c r="O155" s="154"/>
    </row>
    <row r="156" spans="1:15" ht="15" customHeight="1" x14ac:dyDescent="0.25">
      <c r="A156" s="159" t="s">
        <v>46</v>
      </c>
      <c r="B156" s="163" t="s">
        <v>778</v>
      </c>
      <c r="C156" s="169">
        <f>28153.0348873149+43771.1215987889</f>
        <v>71924.156486103806</v>
      </c>
      <c r="D156" s="166">
        <v>68316.326486233796</v>
      </c>
      <c r="E156" s="166">
        <v>53220.598750169003</v>
      </c>
      <c r="F156" s="166">
        <f>-('[1]leasing, indtægter,tolke'!M13+'[1]leasing, indtægter,tolke'!M14)+120784.89537274</f>
        <v>64583.031372739992</v>
      </c>
      <c r="G156" s="95">
        <f t="shared" si="4"/>
        <v>3607.8299998700095</v>
      </c>
      <c r="H156" s="102" t="str">
        <f t="shared" si="5"/>
        <v>5,3%</v>
      </c>
      <c r="I156" s="90"/>
      <c r="J156" s="154"/>
      <c r="K156" s="154"/>
      <c r="L156" s="154"/>
      <c r="M156" s="154"/>
      <c r="N156" s="154"/>
      <c r="O156" s="154"/>
    </row>
    <row r="157" spans="1:15" ht="15" customHeight="1" x14ac:dyDescent="0.25">
      <c r="A157" s="159" t="s">
        <v>46</v>
      </c>
      <c r="B157" s="173" t="s">
        <v>779</v>
      </c>
      <c r="C157" s="174">
        <f>+('2020'!G482+'2020'!I430)/1000</f>
        <v>5011.4008099999992</v>
      </c>
      <c r="D157" s="122">
        <f>+'2019'!I479/1000</f>
        <v>9271.8482899999999</v>
      </c>
      <c r="E157" s="122">
        <v>42762.643329999999</v>
      </c>
      <c r="F157" s="122">
        <v>40375</v>
      </c>
      <c r="G157" s="109">
        <f t="shared" si="4"/>
        <v>-4260.4474800000007</v>
      </c>
      <c r="H157" s="113" t="str">
        <f t="shared" si="5"/>
        <v>-46,0%▼</v>
      </c>
      <c r="I157" s="115"/>
      <c r="J157" s="154"/>
      <c r="K157" s="154"/>
      <c r="L157" s="154"/>
      <c r="M157" s="154"/>
      <c r="N157" s="154"/>
      <c r="O157" s="154"/>
    </row>
    <row r="158" spans="1:15" ht="15" customHeight="1" x14ac:dyDescent="0.25">
      <c r="A158" s="159" t="s">
        <v>46</v>
      </c>
      <c r="B158" s="163" t="s">
        <v>780</v>
      </c>
      <c r="C158" s="169"/>
      <c r="D158" s="166"/>
      <c r="E158" s="166"/>
      <c r="F158" s="166"/>
      <c r="G158" s="95">
        <f t="shared" si="4"/>
        <v>0</v>
      </c>
      <c r="H158" s="102" t="str">
        <f t="shared" si="5"/>
        <v/>
      </c>
      <c r="I158" s="90"/>
      <c r="J158" s="154"/>
      <c r="K158" s="154"/>
      <c r="L158" s="154"/>
      <c r="M158" s="154"/>
      <c r="N158" s="154"/>
      <c r="O158" s="154"/>
    </row>
    <row r="159" spans="1:15" ht="15" customHeight="1" x14ac:dyDescent="0.25">
      <c r="A159" s="159" t="s">
        <v>46</v>
      </c>
      <c r="B159" s="167" t="s">
        <v>781</v>
      </c>
      <c r="C159" s="168">
        <f>+'2020'!D132/1000</f>
        <v>-4.4253999999999998</v>
      </c>
      <c r="D159" s="165">
        <f>+'2019'!C162/1000</f>
        <v>626.80502999999999</v>
      </c>
      <c r="E159" s="165">
        <f>+'Ark1'!D92/1000</f>
        <v>9458.8377600000003</v>
      </c>
      <c r="F159" s="165">
        <f>+'[1]leasing, indtægter,tolke'!F123/1000</f>
        <v>-145.31070000000003</v>
      </c>
      <c r="G159" s="109">
        <f t="shared" si="4"/>
        <v>-631.23042999999996</v>
      </c>
      <c r="H159" s="113" t="str">
        <f t="shared" si="5"/>
        <v>-100,7%▼</v>
      </c>
      <c r="I159" s="110"/>
      <c r="J159" s="154"/>
      <c r="K159" s="154"/>
      <c r="L159" s="154"/>
      <c r="M159" s="154"/>
      <c r="N159" s="154"/>
      <c r="O159" s="154"/>
    </row>
    <row r="160" spans="1:15" ht="15" customHeight="1" x14ac:dyDescent="0.25">
      <c r="A160" s="159" t="s">
        <v>46</v>
      </c>
      <c r="B160" s="163" t="s">
        <v>782</v>
      </c>
      <c r="C160" s="169"/>
      <c r="D160" s="166"/>
      <c r="E160" s="166"/>
      <c r="F160" s="166"/>
      <c r="G160" s="95">
        <f t="shared" si="4"/>
        <v>0</v>
      </c>
      <c r="H160" s="102" t="str">
        <f t="shared" si="5"/>
        <v/>
      </c>
      <c r="I160" s="90"/>
      <c r="J160" s="154"/>
      <c r="K160" s="154"/>
      <c r="L160" s="154"/>
      <c r="M160" s="154"/>
      <c r="N160" s="154"/>
      <c r="O160" s="154"/>
    </row>
    <row r="161" spans="1:15" ht="15" customHeight="1" x14ac:dyDescent="0.25">
      <c r="A161" s="159" t="s">
        <v>46</v>
      </c>
      <c r="B161" s="173" t="s">
        <v>783</v>
      </c>
      <c r="C161" s="174"/>
      <c r="D161" s="122"/>
      <c r="E161" s="122"/>
      <c r="F161" s="122"/>
      <c r="G161" s="109">
        <f t="shared" si="4"/>
        <v>0</v>
      </c>
      <c r="H161" s="113" t="str">
        <f t="shared" si="5"/>
        <v/>
      </c>
      <c r="I161" s="115"/>
      <c r="J161" s="154"/>
      <c r="K161" s="154"/>
      <c r="L161" s="154"/>
      <c r="M161" s="154"/>
      <c r="N161" s="154"/>
      <c r="O161" s="154"/>
    </row>
    <row r="162" spans="1:15" ht="15" customHeight="1" x14ac:dyDescent="0.25">
      <c r="A162" s="159" t="s">
        <v>46</v>
      </c>
      <c r="B162" s="163" t="s">
        <v>784</v>
      </c>
      <c r="C162" s="169"/>
      <c r="D162" s="166"/>
      <c r="E162" s="166"/>
      <c r="F162" s="166"/>
      <c r="G162" s="95">
        <f t="shared" si="4"/>
        <v>0</v>
      </c>
      <c r="H162" s="102" t="str">
        <f t="shared" si="5"/>
        <v/>
      </c>
      <c r="I162" s="90"/>
      <c r="J162" s="154"/>
      <c r="K162" s="154"/>
      <c r="L162" s="154"/>
      <c r="M162" s="154"/>
      <c r="N162" s="154"/>
      <c r="O162" s="154"/>
    </row>
    <row r="163" spans="1:15" ht="15" customHeight="1" x14ac:dyDescent="0.25">
      <c r="A163" s="159" t="s">
        <v>46</v>
      </c>
      <c r="B163" s="173" t="s">
        <v>785</v>
      </c>
      <c r="C163" s="174"/>
      <c r="D163" s="122"/>
      <c r="E163" s="122"/>
      <c r="F163" s="122"/>
      <c r="G163" s="109">
        <f t="shared" si="4"/>
        <v>0</v>
      </c>
      <c r="H163" s="113" t="str">
        <f t="shared" si="5"/>
        <v/>
      </c>
      <c r="I163" s="115"/>
      <c r="J163" s="154"/>
      <c r="K163" s="154"/>
      <c r="L163" s="154"/>
      <c r="M163" s="154"/>
      <c r="N163" s="154"/>
      <c r="O163" s="154"/>
    </row>
    <row r="164" spans="1:15" ht="15" customHeight="1" x14ac:dyDescent="0.25">
      <c r="A164" s="159" t="s">
        <v>46</v>
      </c>
      <c r="B164" s="163" t="s">
        <v>786</v>
      </c>
      <c r="C164" s="169"/>
      <c r="D164" s="166"/>
      <c r="E164" s="166"/>
      <c r="F164" s="166"/>
      <c r="G164" s="95">
        <f t="shared" si="4"/>
        <v>0</v>
      </c>
      <c r="H164" s="102" t="str">
        <f t="shared" si="5"/>
        <v/>
      </c>
      <c r="I164" s="90"/>
      <c r="J164" s="154"/>
      <c r="K164" s="154"/>
      <c r="L164" s="154"/>
      <c r="M164" s="154"/>
      <c r="N164" s="154"/>
      <c r="O164" s="154"/>
    </row>
    <row r="165" spans="1:15" ht="15" customHeight="1" x14ac:dyDescent="0.25">
      <c r="A165" s="159" t="s">
        <v>46</v>
      </c>
      <c r="B165" s="173" t="s">
        <v>787</v>
      </c>
      <c r="C165" s="174"/>
      <c r="D165" s="122"/>
      <c r="E165" s="122"/>
      <c r="F165" s="122"/>
      <c r="G165" s="109">
        <f t="shared" si="4"/>
        <v>0</v>
      </c>
      <c r="H165" s="113" t="str">
        <f t="shared" si="5"/>
        <v/>
      </c>
      <c r="I165" s="115"/>
      <c r="J165" s="154"/>
      <c r="K165" s="154"/>
      <c r="L165" s="154"/>
      <c r="M165" s="154"/>
      <c r="N165" s="154"/>
      <c r="O165" s="154"/>
    </row>
    <row r="166" spans="1:15" ht="15" customHeight="1" x14ac:dyDescent="0.25">
      <c r="A166" s="159" t="s">
        <v>46</v>
      </c>
      <c r="B166" s="163" t="s">
        <v>788</v>
      </c>
      <c r="C166" s="169"/>
      <c r="D166" s="166"/>
      <c r="E166" s="166"/>
      <c r="F166" s="166"/>
      <c r="G166" s="95">
        <f t="shared" si="4"/>
        <v>0</v>
      </c>
      <c r="H166" s="102" t="str">
        <f t="shared" si="5"/>
        <v/>
      </c>
      <c r="I166" s="90"/>
      <c r="J166" s="154"/>
      <c r="K166" s="154"/>
      <c r="L166" s="154"/>
      <c r="M166" s="154"/>
      <c r="N166" s="154"/>
      <c r="O166" s="154"/>
    </row>
    <row r="167" spans="1:15" ht="15" customHeight="1" x14ac:dyDescent="0.25">
      <c r="A167" s="159" t="s">
        <v>46</v>
      </c>
      <c r="B167" s="173" t="s">
        <v>789</v>
      </c>
      <c r="C167" s="174">
        <f>+'2020'!E152/1000+'2020'!I179/1000</f>
        <v>1968.0474899999999</v>
      </c>
      <c r="D167" s="122">
        <f>+'2019'!I125/1000</f>
        <v>2199.0354400000001</v>
      </c>
      <c r="E167" s="122">
        <v>3065.58808</v>
      </c>
      <c r="F167" s="122">
        <f>+'[1]leasing, indtægter,tolke'!G52/1000</f>
        <v>3763.4990499999999</v>
      </c>
      <c r="G167" s="109">
        <f t="shared" si="4"/>
        <v>-230.98795000000018</v>
      </c>
      <c r="H167" s="113" t="str">
        <f t="shared" si="5"/>
        <v>-10,5%▼</v>
      </c>
      <c r="I167" s="110"/>
      <c r="J167" s="154"/>
      <c r="K167" s="154"/>
      <c r="L167" s="154"/>
      <c r="M167" s="154"/>
      <c r="N167" s="154"/>
      <c r="O167" s="154"/>
    </row>
    <row r="168" spans="1:15" ht="15" customHeight="1" x14ac:dyDescent="0.25">
      <c r="A168" s="159" t="s">
        <v>46</v>
      </c>
      <c r="B168" s="163" t="s">
        <v>790</v>
      </c>
      <c r="C168" s="169"/>
      <c r="D168" s="166"/>
      <c r="E168" s="166"/>
      <c r="F168" s="166"/>
      <c r="G168" s="95">
        <f t="shared" si="4"/>
        <v>0</v>
      </c>
      <c r="H168" s="102" t="str">
        <f t="shared" si="5"/>
        <v/>
      </c>
      <c r="I168" s="90"/>
      <c r="J168" s="154"/>
      <c r="K168" s="154"/>
      <c r="L168" s="154"/>
      <c r="M168" s="154"/>
      <c r="N168" s="154"/>
      <c r="O168" s="154"/>
    </row>
    <row r="169" spans="1:15" ht="15" customHeight="1" x14ac:dyDescent="0.25">
      <c r="A169" s="159" t="s">
        <v>46</v>
      </c>
      <c r="B169" s="173" t="s">
        <v>791</v>
      </c>
      <c r="C169" s="174"/>
      <c r="D169" s="122"/>
      <c r="E169" s="122"/>
      <c r="F169" s="122"/>
      <c r="G169" s="109">
        <f t="shared" si="4"/>
        <v>0</v>
      </c>
      <c r="H169" s="113" t="str">
        <f t="shared" si="5"/>
        <v/>
      </c>
      <c r="I169" s="115"/>
      <c r="J169" s="154"/>
      <c r="K169" s="154"/>
      <c r="L169" s="154"/>
      <c r="M169" s="154"/>
      <c r="N169" s="154"/>
      <c r="O169" s="154"/>
    </row>
    <row r="170" spans="1:15" ht="15" customHeight="1" x14ac:dyDescent="0.25">
      <c r="A170" s="159" t="s">
        <v>46</v>
      </c>
      <c r="B170" s="170" t="s">
        <v>792</v>
      </c>
      <c r="C170" s="171"/>
      <c r="D170" s="121"/>
      <c r="E170" s="121"/>
      <c r="F170" s="121"/>
      <c r="G170" s="95">
        <f t="shared" si="4"/>
        <v>0</v>
      </c>
      <c r="H170" s="102" t="str">
        <f t="shared" si="5"/>
        <v/>
      </c>
      <c r="I170" s="111"/>
      <c r="J170" s="154"/>
      <c r="K170" s="154"/>
      <c r="L170" s="154"/>
      <c r="M170" s="154"/>
      <c r="N170" s="154"/>
      <c r="O170" s="154"/>
    </row>
    <row r="171" spans="1:15" ht="15" customHeight="1" x14ac:dyDescent="0.25">
      <c r="A171" s="159" t="s">
        <v>46</v>
      </c>
      <c r="B171" s="173" t="s">
        <v>793</v>
      </c>
      <c r="C171" s="174"/>
      <c r="D171" s="122"/>
      <c r="E171" s="122"/>
      <c r="F171" s="122"/>
      <c r="G171" s="109">
        <f t="shared" si="4"/>
        <v>0</v>
      </c>
      <c r="H171" s="113" t="str">
        <f t="shared" si="5"/>
        <v/>
      </c>
      <c r="I171" s="115"/>
      <c r="J171" s="154"/>
      <c r="K171" s="154"/>
      <c r="L171" s="154"/>
      <c r="M171" s="154"/>
      <c r="N171" s="154"/>
      <c r="O171" s="154"/>
    </row>
    <row r="172" spans="1:15" ht="15" customHeight="1" x14ac:dyDescent="0.25">
      <c r="A172" s="159" t="s">
        <v>46</v>
      </c>
      <c r="B172" s="170" t="s">
        <v>794</v>
      </c>
      <c r="C172" s="171"/>
      <c r="D172" s="121"/>
      <c r="E172" s="121"/>
      <c r="F172" s="121"/>
      <c r="G172" s="95">
        <f t="shared" si="4"/>
        <v>0</v>
      </c>
      <c r="H172" s="102" t="str">
        <f t="shared" si="5"/>
        <v/>
      </c>
      <c r="I172" s="111"/>
      <c r="J172" s="154"/>
      <c r="K172" s="154"/>
      <c r="L172" s="154"/>
      <c r="M172" s="154"/>
      <c r="N172" s="154"/>
      <c r="O172" s="154"/>
    </row>
    <row r="173" spans="1:15" ht="15" customHeight="1" x14ac:dyDescent="0.25">
      <c r="A173" s="159" t="s">
        <v>46</v>
      </c>
      <c r="B173" s="173" t="s">
        <v>795</v>
      </c>
      <c r="C173" s="174"/>
      <c r="D173" s="122"/>
      <c r="E173" s="122"/>
      <c r="F173" s="122"/>
      <c r="G173" s="109">
        <f t="shared" si="4"/>
        <v>0</v>
      </c>
      <c r="H173" s="113" t="str">
        <f t="shared" si="5"/>
        <v/>
      </c>
      <c r="I173" s="115"/>
      <c r="J173" s="154"/>
      <c r="K173" s="154"/>
      <c r="L173" s="154"/>
      <c r="M173" s="154"/>
      <c r="N173" s="154"/>
      <c r="O173" s="154"/>
    </row>
    <row r="174" spans="1:15" ht="15" customHeight="1" x14ac:dyDescent="0.25">
      <c r="A174" s="159" t="s">
        <v>46</v>
      </c>
      <c r="B174" s="170" t="s">
        <v>796</v>
      </c>
      <c r="C174" s="171">
        <v>146628.87840121111</v>
      </c>
      <c r="D174" s="121"/>
      <c r="E174" s="121"/>
      <c r="F174" s="121"/>
      <c r="G174" s="95">
        <f t="shared" si="4"/>
        <v>146628.87840121111</v>
      </c>
      <c r="H174" s="102" t="str">
        <f t="shared" si="5"/>
        <v/>
      </c>
      <c r="I174" s="111"/>
      <c r="J174" s="154"/>
      <c r="K174" s="154"/>
      <c r="L174" s="154"/>
      <c r="M174" s="154"/>
      <c r="N174" s="154"/>
      <c r="O174" s="154"/>
    </row>
    <row r="175" spans="1:15" ht="15" customHeight="1" x14ac:dyDescent="0.25">
      <c r="A175" s="159" t="s">
        <v>46</v>
      </c>
      <c r="B175" s="167" t="s">
        <v>797</v>
      </c>
      <c r="C175" s="168"/>
      <c r="D175" s="165"/>
      <c r="E175" s="165"/>
      <c r="F175" s="165"/>
      <c r="G175" s="109">
        <f t="shared" si="4"/>
        <v>0</v>
      </c>
      <c r="H175" s="113" t="str">
        <f t="shared" si="5"/>
        <v/>
      </c>
      <c r="I175" s="110"/>
      <c r="J175" s="154"/>
      <c r="K175" s="154"/>
      <c r="L175" s="154"/>
      <c r="M175" s="154"/>
      <c r="N175" s="154"/>
      <c r="O175" s="154"/>
    </row>
    <row r="176" spans="1:15" ht="15" customHeight="1" x14ac:dyDescent="0.25">
      <c r="A176" s="159" t="s">
        <v>46</v>
      </c>
      <c r="B176" s="186" t="s">
        <v>186</v>
      </c>
      <c r="C176" s="187"/>
      <c r="D176" s="188">
        <v>0</v>
      </c>
      <c r="E176" s="188">
        <v>0</v>
      </c>
      <c r="F176" s="188"/>
      <c r="G176" s="95">
        <f t="shared" si="4"/>
        <v>0</v>
      </c>
      <c r="H176" s="102" t="str">
        <f t="shared" si="5"/>
        <v/>
      </c>
      <c r="I176" s="93"/>
      <c r="J176" s="154"/>
      <c r="K176" s="154"/>
      <c r="L176" s="154"/>
      <c r="M176" s="154"/>
      <c r="N176" s="154"/>
      <c r="O176" s="154"/>
    </row>
    <row r="177" spans="1:15" ht="15" customHeight="1" x14ac:dyDescent="0.25">
      <c r="A177" s="159" t="s">
        <v>46</v>
      </c>
      <c r="B177" s="183" t="s">
        <v>8</v>
      </c>
      <c r="C177" s="184">
        <f>SUMIFS((C7:C176),(A7:A176),A177)</f>
        <v>-14024.966642685089</v>
      </c>
      <c r="D177" s="184">
        <f>SUMIFS((D7:D176),(A7:A176),A177)</f>
        <v>-146604.25506376624</v>
      </c>
      <c r="E177" s="184">
        <f>SUMIFS((E7:E176),(A7:A176),A177)</f>
        <v>-111640.15318983096</v>
      </c>
      <c r="F177" s="184">
        <f>SUMIFS((F7:F176),(A7:A176),A177)</f>
        <v>-130299.12496726001</v>
      </c>
      <c r="G177" s="116">
        <f t="shared" si="4"/>
        <v>132579.28842108115</v>
      </c>
      <c r="H177" s="117" t="str">
        <f t="shared" si="5"/>
        <v>-90,4%▼</v>
      </c>
      <c r="I177" s="185"/>
      <c r="J177" s="154"/>
      <c r="K177" s="154"/>
      <c r="L177" s="154"/>
      <c r="M177" s="154"/>
      <c r="N177" s="154"/>
      <c r="O177" s="154"/>
    </row>
    <row r="178" spans="1:15" ht="15" customHeight="1" x14ac:dyDescent="0.25">
      <c r="A178" s="48" t="s">
        <v>25</v>
      </c>
      <c r="B178" s="163"/>
      <c r="C178" s="166"/>
      <c r="D178" s="166"/>
      <c r="E178" s="166"/>
      <c r="F178" s="166">
        <v>0</v>
      </c>
      <c r="G178" s="95">
        <f t="shared" si="4"/>
        <v>0</v>
      </c>
      <c r="H178" s="102" t="str">
        <f t="shared" si="5"/>
        <v/>
      </c>
      <c r="I178" s="90"/>
    </row>
    <row r="179" spans="1:15" ht="15" customHeight="1" x14ac:dyDescent="0.25">
      <c r="A179" s="159" t="s">
        <v>25</v>
      </c>
      <c r="B179" s="167" t="s">
        <v>49</v>
      </c>
      <c r="C179" s="168"/>
      <c r="D179" s="165"/>
      <c r="E179" s="165"/>
      <c r="F179" s="165"/>
      <c r="G179" s="109">
        <f t="shared" si="4"/>
        <v>0</v>
      </c>
      <c r="H179" s="113" t="str">
        <f t="shared" si="5"/>
        <v/>
      </c>
      <c r="I179" s="110"/>
      <c r="J179" s="154"/>
      <c r="K179" s="154"/>
      <c r="L179" s="154"/>
      <c r="M179" s="154"/>
      <c r="N179" s="154"/>
      <c r="O179" s="154"/>
    </row>
    <row r="180" spans="1:15" ht="15" customHeight="1" x14ac:dyDescent="0.25">
      <c r="A180" s="159" t="s">
        <v>25</v>
      </c>
      <c r="B180" s="163" t="s">
        <v>759</v>
      </c>
      <c r="C180" s="169"/>
      <c r="D180" s="166"/>
      <c r="E180" s="166"/>
      <c r="F180" s="166"/>
      <c r="G180" s="95">
        <f t="shared" si="4"/>
        <v>0</v>
      </c>
      <c r="H180" s="102" t="str">
        <f t="shared" si="5"/>
        <v/>
      </c>
      <c r="I180" s="90"/>
      <c r="J180" s="154"/>
      <c r="K180" s="154"/>
      <c r="L180" s="154"/>
      <c r="M180" s="154"/>
      <c r="N180" s="154"/>
      <c r="O180" s="154"/>
    </row>
    <row r="181" spans="1:15" ht="15" customHeight="1" x14ac:dyDescent="0.25">
      <c r="A181" s="159" t="s">
        <v>25</v>
      </c>
      <c r="B181" s="173" t="s">
        <v>760</v>
      </c>
      <c r="C181" s="174"/>
      <c r="D181" s="122"/>
      <c r="E181" s="122"/>
      <c r="F181" s="122">
        <v>3069.9592120914399</v>
      </c>
      <c r="G181" s="109">
        <f t="shared" si="4"/>
        <v>0</v>
      </c>
      <c r="H181" s="113" t="str">
        <f t="shared" si="5"/>
        <v/>
      </c>
      <c r="I181" s="115"/>
      <c r="J181" s="154"/>
      <c r="K181" s="154"/>
      <c r="L181" s="154"/>
      <c r="M181" s="154"/>
      <c r="N181" s="154"/>
      <c r="O181" s="154"/>
    </row>
    <row r="182" spans="1:15" ht="15" customHeight="1" x14ac:dyDescent="0.25">
      <c r="A182" s="159" t="s">
        <v>25</v>
      </c>
      <c r="B182" s="163" t="s">
        <v>761</v>
      </c>
      <c r="C182" s="169"/>
      <c r="D182" s="166"/>
      <c r="E182" s="166"/>
      <c r="F182" s="166"/>
      <c r="G182" s="95">
        <f t="shared" si="4"/>
        <v>0</v>
      </c>
      <c r="H182" s="102" t="str">
        <f t="shared" si="5"/>
        <v/>
      </c>
      <c r="I182" s="90"/>
      <c r="J182" s="154"/>
      <c r="K182" s="154"/>
      <c r="L182" s="154"/>
      <c r="M182" s="154"/>
      <c r="N182" s="154"/>
      <c r="O182" s="154"/>
    </row>
    <row r="183" spans="1:15" ht="15" customHeight="1" x14ac:dyDescent="0.25">
      <c r="A183" s="159" t="s">
        <v>25</v>
      </c>
      <c r="B183" s="167" t="s">
        <v>762</v>
      </c>
      <c r="C183" s="168">
        <f>+'2020'!F50/1000+'2020'!F64/1000</f>
        <v>6432.1750499999998</v>
      </c>
      <c r="D183" s="165">
        <f>+'2019'!J265/1000+'2019'!E652/1000</f>
        <v>7266.8634199999997</v>
      </c>
      <c r="E183" s="165">
        <f>9998.48373+362.98603</f>
        <v>10361.46976</v>
      </c>
      <c r="F183" s="165">
        <v>9374.7760199999993</v>
      </c>
      <c r="G183" s="109">
        <f t="shared" si="4"/>
        <v>-834.68836999999985</v>
      </c>
      <c r="H183" s="113" t="str">
        <f t="shared" si="5"/>
        <v>-11,5%▼</v>
      </c>
      <c r="I183" s="110"/>
      <c r="J183" s="154"/>
      <c r="K183" s="154"/>
      <c r="L183" s="154"/>
      <c r="M183" s="154"/>
      <c r="N183" s="154"/>
      <c r="O183" s="154"/>
    </row>
    <row r="184" spans="1:15" ht="15" customHeight="1" x14ac:dyDescent="0.25">
      <c r="A184" s="159" t="s">
        <v>25</v>
      </c>
      <c r="B184" s="163" t="s">
        <v>763</v>
      </c>
      <c r="C184" s="169">
        <f>+'2020'!D296/1000</f>
        <v>31222.43878</v>
      </c>
      <c r="D184" s="166">
        <f>+'2019'!G547/1000</f>
        <v>37758.941469999998</v>
      </c>
      <c r="E184" s="166">
        <v>33480.059569999998</v>
      </c>
      <c r="F184" s="166">
        <f>+'[1]leasing, indtægter,tolke'!G138/1000</f>
        <v>33937.413940000006</v>
      </c>
      <c r="G184" s="95">
        <f t="shared" si="4"/>
        <v>-6536.5026899999975</v>
      </c>
      <c r="H184" s="102" t="str">
        <f t="shared" si="5"/>
        <v>-17,3%▼</v>
      </c>
      <c r="I184" s="90"/>
      <c r="J184" s="154"/>
      <c r="K184" s="154"/>
      <c r="L184" s="154"/>
      <c r="M184" s="154"/>
      <c r="N184" s="154"/>
      <c r="O184" s="154"/>
    </row>
    <row r="185" spans="1:15" ht="15" customHeight="1" x14ac:dyDescent="0.25">
      <c r="A185" s="159" t="s">
        <v>25</v>
      </c>
      <c r="B185" s="173" t="s">
        <v>764</v>
      </c>
      <c r="C185" s="174"/>
      <c r="D185" s="122"/>
      <c r="E185" s="122"/>
      <c r="F185" s="122"/>
      <c r="G185" s="109">
        <f t="shared" si="4"/>
        <v>0</v>
      </c>
      <c r="H185" s="113" t="str">
        <f t="shared" si="5"/>
        <v/>
      </c>
      <c r="I185" s="115"/>
      <c r="J185" s="154"/>
      <c r="K185" s="154"/>
      <c r="L185" s="154"/>
      <c r="M185" s="154"/>
      <c r="N185" s="154"/>
      <c r="O185" s="154"/>
    </row>
    <row r="186" spans="1:15" ht="15" customHeight="1" x14ac:dyDescent="0.25">
      <c r="A186" s="159" t="s">
        <v>25</v>
      </c>
      <c r="B186" s="170" t="s">
        <v>765</v>
      </c>
      <c r="C186" s="171"/>
      <c r="D186" s="121"/>
      <c r="E186" s="121"/>
      <c r="F186" s="121"/>
      <c r="G186" s="95">
        <f t="shared" si="4"/>
        <v>0</v>
      </c>
      <c r="H186" s="102" t="str">
        <f t="shared" si="5"/>
        <v/>
      </c>
      <c r="I186" s="111"/>
      <c r="J186" s="154"/>
      <c r="K186" s="154"/>
      <c r="L186" s="154"/>
      <c r="M186" s="154"/>
      <c r="N186" s="154"/>
      <c r="O186" s="154"/>
    </row>
    <row r="187" spans="1:15" ht="15" customHeight="1" x14ac:dyDescent="0.25">
      <c r="A187" s="159" t="s">
        <v>25</v>
      </c>
      <c r="B187" s="173" t="s">
        <v>766</v>
      </c>
      <c r="C187" s="174"/>
      <c r="D187" s="122"/>
      <c r="E187" s="122"/>
      <c r="F187" s="122"/>
      <c r="G187" s="109">
        <f t="shared" si="4"/>
        <v>0</v>
      </c>
      <c r="H187" s="113" t="str">
        <f t="shared" si="5"/>
        <v/>
      </c>
      <c r="I187" s="115"/>
      <c r="J187" s="154"/>
      <c r="K187" s="154"/>
      <c r="L187" s="154"/>
      <c r="M187" s="154"/>
      <c r="N187" s="154"/>
      <c r="O187" s="154"/>
    </row>
    <row r="188" spans="1:15" ht="15" customHeight="1" x14ac:dyDescent="0.25">
      <c r="A188" s="159" t="s">
        <v>25</v>
      </c>
      <c r="B188" s="163" t="s">
        <v>767</v>
      </c>
      <c r="C188" s="169"/>
      <c r="D188" s="166"/>
      <c r="E188" s="166"/>
      <c r="F188" s="166"/>
      <c r="G188" s="95">
        <f t="shared" si="4"/>
        <v>0</v>
      </c>
      <c r="H188" s="102" t="str">
        <f t="shared" si="5"/>
        <v/>
      </c>
      <c r="I188" s="90"/>
      <c r="J188" s="154"/>
      <c r="K188" s="154"/>
      <c r="L188" s="154"/>
      <c r="M188" s="154"/>
      <c r="N188" s="154"/>
      <c r="O188" s="154"/>
    </row>
    <row r="189" spans="1:15" ht="15" customHeight="1" x14ac:dyDescent="0.25">
      <c r="A189" s="159" t="s">
        <v>25</v>
      </c>
      <c r="B189" s="167" t="s">
        <v>768</v>
      </c>
      <c r="C189" s="168"/>
      <c r="D189" s="165"/>
      <c r="E189" s="165"/>
      <c r="F189" s="165"/>
      <c r="G189" s="109">
        <f t="shared" si="4"/>
        <v>0</v>
      </c>
      <c r="H189" s="113" t="str">
        <f t="shared" si="5"/>
        <v/>
      </c>
      <c r="I189" s="110"/>
      <c r="J189" s="154"/>
      <c r="K189" s="154"/>
      <c r="L189" s="154"/>
      <c r="M189" s="154"/>
      <c r="N189" s="154"/>
      <c r="O189" s="154"/>
    </row>
    <row r="190" spans="1:15" ht="15" customHeight="1" x14ac:dyDescent="0.25">
      <c r="A190" s="159" t="s">
        <v>25</v>
      </c>
      <c r="B190" s="170" t="s">
        <v>769</v>
      </c>
      <c r="C190" s="171"/>
      <c r="D190" s="121"/>
      <c r="E190" s="121"/>
      <c r="F190" s="121"/>
      <c r="G190" s="95">
        <f t="shared" si="4"/>
        <v>0</v>
      </c>
      <c r="H190" s="102" t="str">
        <f t="shared" si="5"/>
        <v/>
      </c>
      <c r="I190" s="111"/>
      <c r="J190" s="154"/>
      <c r="K190" s="154"/>
      <c r="L190" s="154"/>
      <c r="M190" s="154"/>
      <c r="N190" s="154"/>
      <c r="O190" s="154"/>
    </row>
    <row r="191" spans="1:15" ht="15" customHeight="1" x14ac:dyDescent="0.25">
      <c r="A191" s="159" t="s">
        <v>25</v>
      </c>
      <c r="B191" s="167" t="s">
        <v>770</v>
      </c>
      <c r="C191" s="168"/>
      <c r="D191" s="165"/>
      <c r="E191" s="165"/>
      <c r="F191" s="165"/>
      <c r="G191" s="109">
        <f t="shared" si="4"/>
        <v>0</v>
      </c>
      <c r="H191" s="113" t="str">
        <f t="shared" si="5"/>
        <v/>
      </c>
      <c r="I191" s="110"/>
      <c r="J191" s="154"/>
      <c r="K191" s="154"/>
      <c r="L191" s="154"/>
      <c r="M191" s="154"/>
      <c r="N191" s="154"/>
      <c r="O191" s="154"/>
    </row>
    <row r="192" spans="1:15" ht="15" customHeight="1" x14ac:dyDescent="0.25">
      <c r="A192" s="159" t="s">
        <v>25</v>
      </c>
      <c r="B192" s="170" t="s">
        <v>771</v>
      </c>
      <c r="C192" s="171"/>
      <c r="D192" s="121"/>
      <c r="E192" s="121"/>
      <c r="F192" s="121"/>
      <c r="G192" s="95">
        <f t="shared" si="4"/>
        <v>0</v>
      </c>
      <c r="H192" s="102" t="str">
        <f t="shared" si="5"/>
        <v/>
      </c>
      <c r="I192" s="111"/>
      <c r="J192" s="154"/>
      <c r="K192" s="154"/>
      <c r="L192" s="154"/>
      <c r="M192" s="154"/>
      <c r="N192" s="154"/>
      <c r="O192" s="154"/>
    </row>
    <row r="193" spans="1:15" ht="15" customHeight="1" x14ac:dyDescent="0.25">
      <c r="A193" s="159" t="s">
        <v>25</v>
      </c>
      <c r="B193" s="167" t="s">
        <v>772</v>
      </c>
      <c r="C193" s="168">
        <v>0</v>
      </c>
      <c r="D193" s="165">
        <f>+'2019'!L346/1000</f>
        <v>-3287</v>
      </c>
      <c r="E193" s="165">
        <v>-3257.9083700000001</v>
      </c>
      <c r="F193" s="165">
        <v>-3184</v>
      </c>
      <c r="G193" s="109">
        <f t="shared" si="4"/>
        <v>3287</v>
      </c>
      <c r="H193" s="113" t="str">
        <f t="shared" si="5"/>
        <v>-100,0%▼</v>
      </c>
      <c r="I193" s="110"/>
      <c r="J193" s="154"/>
      <c r="K193" s="154"/>
      <c r="L193" s="154"/>
      <c r="M193" s="154"/>
      <c r="N193" s="154"/>
      <c r="O193" s="154"/>
    </row>
    <row r="194" spans="1:15" ht="15" customHeight="1" x14ac:dyDescent="0.25">
      <c r="A194" s="159" t="s">
        <v>25</v>
      </c>
      <c r="B194" s="170" t="s">
        <v>773</v>
      </c>
      <c r="C194" s="171"/>
      <c r="D194" s="121"/>
      <c r="E194" s="121"/>
      <c r="F194" s="121"/>
      <c r="G194" s="95">
        <f t="shared" si="4"/>
        <v>0</v>
      </c>
      <c r="H194" s="102" t="str">
        <f t="shared" si="5"/>
        <v/>
      </c>
      <c r="I194" s="111"/>
      <c r="J194" s="154"/>
      <c r="K194" s="154"/>
      <c r="L194" s="154"/>
      <c r="M194" s="154"/>
      <c r="N194" s="154"/>
      <c r="O194" s="154"/>
    </row>
    <row r="195" spans="1:15" ht="15" customHeight="1" x14ac:dyDescent="0.25">
      <c r="A195" s="159" t="s">
        <v>25</v>
      </c>
      <c r="B195" s="167" t="s">
        <v>774</v>
      </c>
      <c r="C195" s="110">
        <f>+'2020'!I20/1000</f>
        <v>-25672.113000000001</v>
      </c>
      <c r="D195" s="165">
        <f>+'2019'!K35/1000</f>
        <v>-43474.190999999999</v>
      </c>
      <c r="E195" s="165">
        <f>+('Ark1'!J37-'Ark1'!J36)/1000</f>
        <v>-48416.249000000003</v>
      </c>
      <c r="F195" s="165">
        <f>+('[1]leasing, indtægter,tolke'!G86-'[1]leasing, indtægter,tolke'!E81)/1000</f>
        <v>-45617.192999999999</v>
      </c>
      <c r="G195" s="109">
        <f t="shared" si="4"/>
        <v>17802.077999999998</v>
      </c>
      <c r="H195" s="113" t="str">
        <f t="shared" si="5"/>
        <v>-40,9%▼</v>
      </c>
      <c r="I195" s="110"/>
      <c r="J195" s="154"/>
      <c r="K195" s="154"/>
      <c r="L195" s="154"/>
      <c r="M195" s="154"/>
      <c r="N195" s="154"/>
      <c r="O195" s="154"/>
    </row>
    <row r="196" spans="1:15" ht="15" customHeight="1" x14ac:dyDescent="0.25">
      <c r="A196" s="159" t="s">
        <v>25</v>
      </c>
      <c r="B196" s="170" t="s">
        <v>775</v>
      </c>
      <c r="C196" s="111">
        <f>+'2020'!I21/1000</f>
        <v>-2525.54</v>
      </c>
      <c r="D196" s="121">
        <f>+'2019'!K37/1000</f>
        <v>-4069.5919100000001</v>
      </c>
      <c r="E196" s="121">
        <f>+'Ark1'!J36/1000</f>
        <v>-738.50099999999998</v>
      </c>
      <c r="F196" s="121">
        <f>+'[1]leasing, indtægter,tolke'!E81/1000</f>
        <v>-1927.1869999999999</v>
      </c>
      <c r="G196" s="95">
        <f t="shared" si="4"/>
        <v>1544.0519100000001</v>
      </c>
      <c r="H196" s="102" t="str">
        <f t="shared" si="5"/>
        <v>-37,9%▼</v>
      </c>
      <c r="I196" s="90"/>
      <c r="J196" s="154"/>
      <c r="K196" s="154"/>
      <c r="L196" s="154"/>
      <c r="M196" s="154"/>
      <c r="N196" s="154"/>
      <c r="O196" s="154"/>
    </row>
    <row r="197" spans="1:15" ht="15" customHeight="1" x14ac:dyDescent="0.25">
      <c r="A197" s="159" t="s">
        <v>25</v>
      </c>
      <c r="B197" s="167" t="s">
        <v>776</v>
      </c>
      <c r="C197" s="110"/>
      <c r="D197" s="165"/>
      <c r="E197" s="165"/>
      <c r="F197" s="165"/>
      <c r="G197" s="109">
        <f t="shared" si="4"/>
        <v>0</v>
      </c>
      <c r="H197" s="113" t="str">
        <f t="shared" si="5"/>
        <v/>
      </c>
      <c r="I197" s="110"/>
      <c r="J197" s="154"/>
      <c r="K197" s="154"/>
      <c r="L197" s="154"/>
      <c r="M197" s="154"/>
      <c r="N197" s="154"/>
      <c r="O197" s="154"/>
    </row>
    <row r="198" spans="1:15" ht="15" customHeight="1" x14ac:dyDescent="0.25">
      <c r="A198" s="159" t="s">
        <v>25</v>
      </c>
      <c r="B198" s="163" t="s">
        <v>777</v>
      </c>
      <c r="C198" s="90">
        <f>+('2020'!E632-'2020'!K632)/1000+'2020'!E661/1000</f>
        <v>5563.4636299999993</v>
      </c>
      <c r="D198" s="166">
        <f>+'2019'!J700/1000-'2019'!K700/1000</f>
        <v>3912.5031000000004</v>
      </c>
      <c r="E198" s="166">
        <v>3281.5524799999998</v>
      </c>
      <c r="F198" s="166">
        <v>3278.4142200000001</v>
      </c>
      <c r="G198" s="95">
        <f t="shared" si="4"/>
        <v>1650.9605299999989</v>
      </c>
      <c r="H198" s="102" t="str">
        <f t="shared" si="5"/>
        <v>42,2%▲</v>
      </c>
      <c r="I198" s="90"/>
      <c r="J198" s="154"/>
      <c r="K198" s="154"/>
      <c r="L198" s="154"/>
      <c r="M198" s="154"/>
      <c r="N198" s="154"/>
      <c r="O198" s="154"/>
    </row>
    <row r="199" spans="1:15" ht="15" customHeight="1" x14ac:dyDescent="0.25">
      <c r="A199" s="159" t="s">
        <v>25</v>
      </c>
      <c r="B199" s="173" t="s">
        <v>778</v>
      </c>
      <c r="C199" s="115">
        <v>76300.856006272807</v>
      </c>
      <c r="D199" s="122">
        <v>62334.855531461042</v>
      </c>
      <c r="E199" s="122">
        <v>63749.283811676301</v>
      </c>
      <c r="F199" s="122">
        <v>61148.702154953899</v>
      </c>
      <c r="G199" s="109">
        <f t="shared" ref="G199:G262" si="6">IF(ISERROR(C199- D199)=TRUE,"",C199 - D199)</f>
        <v>13966.000474811764</v>
      </c>
      <c r="H199" s="113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>22,4%▲</v>
      </c>
      <c r="I199" s="115"/>
      <c r="J199" s="154"/>
      <c r="K199" s="154"/>
      <c r="L199" s="154"/>
      <c r="M199" s="154"/>
      <c r="N199" s="154"/>
      <c r="O199" s="154"/>
    </row>
    <row r="200" spans="1:15" ht="15" customHeight="1" x14ac:dyDescent="0.25">
      <c r="A200" s="159" t="s">
        <v>25</v>
      </c>
      <c r="B200" s="163" t="s">
        <v>779</v>
      </c>
      <c r="C200" s="90">
        <f>+'2020'!G489/1000</f>
        <v>822.34147999999993</v>
      </c>
      <c r="D200" s="166">
        <f>+'2019'!I484/1000</f>
        <v>5091.3739500000011</v>
      </c>
      <c r="E200" s="166">
        <v>19144.98531</v>
      </c>
      <c r="F200" s="166">
        <v>18582.316859999999</v>
      </c>
      <c r="G200" s="95">
        <f t="shared" si="6"/>
        <v>-4269.032470000001</v>
      </c>
      <c r="H200" s="102" t="str">
        <f t="shared" si="7"/>
        <v>-83,8%▼</v>
      </c>
      <c r="I200" s="90"/>
      <c r="J200" s="154"/>
      <c r="K200" s="154"/>
      <c r="L200" s="154"/>
      <c r="M200" s="154"/>
      <c r="N200" s="154"/>
      <c r="O200" s="154"/>
    </row>
    <row r="201" spans="1:15" ht="15" customHeight="1" x14ac:dyDescent="0.25">
      <c r="A201" s="159" t="s">
        <v>25</v>
      </c>
      <c r="B201" s="173" t="s">
        <v>780</v>
      </c>
      <c r="C201" s="115"/>
      <c r="D201" s="122"/>
      <c r="E201" s="122"/>
      <c r="F201" s="122"/>
      <c r="G201" s="109">
        <f t="shared" si="6"/>
        <v>0</v>
      </c>
      <c r="H201" s="113" t="str">
        <f t="shared" si="7"/>
        <v/>
      </c>
      <c r="I201" s="115"/>
      <c r="J201" s="154"/>
      <c r="K201" s="154"/>
      <c r="L201" s="154"/>
      <c r="M201" s="154"/>
      <c r="N201" s="154"/>
      <c r="O201" s="154"/>
    </row>
    <row r="202" spans="1:15" ht="15" customHeight="1" x14ac:dyDescent="0.25">
      <c r="A202" s="159" t="s">
        <v>25</v>
      </c>
      <c r="B202" s="163" t="s">
        <v>781</v>
      </c>
      <c r="C202" s="90">
        <f>+'2020'!D134/1000</f>
        <v>0</v>
      </c>
      <c r="D202" s="166">
        <f>+'2019'!C163/1000</f>
        <v>0.49278</v>
      </c>
      <c r="E202" s="166">
        <f>+'Ark1'!D93/1000</f>
        <v>289.73690999999997</v>
      </c>
      <c r="F202" s="166">
        <f>+'[1]leasing, indtægter,tolke'!F124/1000</f>
        <v>0</v>
      </c>
      <c r="G202" s="95">
        <f t="shared" si="6"/>
        <v>-0.49278</v>
      </c>
      <c r="H202" s="102" t="str">
        <f t="shared" si="7"/>
        <v>-100,0%▼</v>
      </c>
      <c r="I202" s="90"/>
      <c r="J202" s="154"/>
      <c r="K202" s="154"/>
      <c r="L202" s="154"/>
      <c r="M202" s="154"/>
      <c r="N202" s="154"/>
      <c r="O202" s="154"/>
    </row>
    <row r="203" spans="1:15" ht="15" customHeight="1" x14ac:dyDescent="0.25">
      <c r="A203" s="159" t="s">
        <v>25</v>
      </c>
      <c r="B203" s="167" t="s">
        <v>782</v>
      </c>
      <c r="C203" s="110"/>
      <c r="D203" s="165"/>
      <c r="E203" s="165"/>
      <c r="F203" s="165"/>
      <c r="G203" s="109">
        <f t="shared" si="6"/>
        <v>0</v>
      </c>
      <c r="H203" s="113" t="str">
        <f t="shared" si="7"/>
        <v/>
      </c>
      <c r="I203" s="110"/>
      <c r="J203" s="154"/>
      <c r="K203" s="154"/>
      <c r="L203" s="154"/>
      <c r="M203" s="154"/>
      <c r="N203" s="154"/>
      <c r="O203" s="154"/>
    </row>
    <row r="204" spans="1:15" ht="15" customHeight="1" x14ac:dyDescent="0.25">
      <c r="A204" s="159" t="s">
        <v>25</v>
      </c>
      <c r="B204" s="163" t="s">
        <v>783</v>
      </c>
      <c r="C204" s="90"/>
      <c r="D204" s="166"/>
      <c r="E204" s="166"/>
      <c r="F204" s="166"/>
      <c r="G204" s="95">
        <f t="shared" si="6"/>
        <v>0</v>
      </c>
      <c r="H204" s="102" t="str">
        <f t="shared" si="7"/>
        <v/>
      </c>
      <c r="I204" s="90"/>
      <c r="J204" s="154"/>
      <c r="K204" s="154"/>
      <c r="L204" s="154"/>
      <c r="M204" s="154"/>
      <c r="N204" s="154"/>
      <c r="O204" s="154"/>
    </row>
    <row r="205" spans="1:15" ht="15" customHeight="1" x14ac:dyDescent="0.25">
      <c r="A205" s="159" t="s">
        <v>25</v>
      </c>
      <c r="B205" s="173" t="s">
        <v>784</v>
      </c>
      <c r="C205" s="115"/>
      <c r="D205" s="122"/>
      <c r="E205" s="122"/>
      <c r="F205" s="122"/>
      <c r="G205" s="109">
        <f t="shared" si="6"/>
        <v>0</v>
      </c>
      <c r="H205" s="113" t="str">
        <f t="shared" si="7"/>
        <v/>
      </c>
      <c r="I205" s="115"/>
      <c r="J205" s="154"/>
      <c r="K205" s="154"/>
      <c r="L205" s="154"/>
      <c r="M205" s="154"/>
      <c r="N205" s="154"/>
      <c r="O205" s="154"/>
    </row>
    <row r="206" spans="1:15" ht="15" customHeight="1" x14ac:dyDescent="0.25">
      <c r="A206" s="159" t="s">
        <v>25</v>
      </c>
      <c r="B206" s="163" t="s">
        <v>785</v>
      </c>
      <c r="C206" s="90"/>
      <c r="D206" s="166"/>
      <c r="E206" s="166"/>
      <c r="F206" s="166"/>
      <c r="G206" s="95">
        <f t="shared" si="6"/>
        <v>0</v>
      </c>
      <c r="H206" s="102" t="str">
        <f t="shared" si="7"/>
        <v/>
      </c>
      <c r="I206" s="90"/>
      <c r="J206" s="154"/>
      <c r="K206" s="154"/>
      <c r="L206" s="154"/>
      <c r="M206" s="154"/>
      <c r="N206" s="154"/>
      <c r="O206" s="154"/>
    </row>
    <row r="207" spans="1:15" ht="15" customHeight="1" x14ac:dyDescent="0.25">
      <c r="A207" s="159" t="s">
        <v>25</v>
      </c>
      <c r="B207" s="173" t="s">
        <v>786</v>
      </c>
      <c r="C207" s="115"/>
      <c r="D207" s="122"/>
      <c r="E207" s="122"/>
      <c r="F207" s="122"/>
      <c r="G207" s="109">
        <f t="shared" si="6"/>
        <v>0</v>
      </c>
      <c r="H207" s="113" t="str">
        <f t="shared" si="7"/>
        <v/>
      </c>
      <c r="I207" s="115"/>
      <c r="J207" s="154"/>
      <c r="K207" s="154"/>
      <c r="L207" s="154"/>
      <c r="M207" s="154"/>
      <c r="N207" s="154"/>
      <c r="O207" s="154"/>
    </row>
    <row r="208" spans="1:15" ht="15" customHeight="1" x14ac:dyDescent="0.25">
      <c r="A208" s="159" t="s">
        <v>25</v>
      </c>
      <c r="B208" s="163" t="s">
        <v>787</v>
      </c>
      <c r="C208" s="90"/>
      <c r="D208" s="166"/>
      <c r="E208" s="166"/>
      <c r="F208" s="166"/>
      <c r="G208" s="95">
        <f t="shared" si="6"/>
        <v>0</v>
      </c>
      <c r="H208" s="102" t="str">
        <f t="shared" si="7"/>
        <v/>
      </c>
      <c r="I208" s="90"/>
      <c r="J208" s="154"/>
      <c r="K208" s="154"/>
      <c r="L208" s="154"/>
      <c r="M208" s="154"/>
      <c r="N208" s="154"/>
      <c r="O208" s="154"/>
    </row>
    <row r="209" spans="1:15" ht="15" customHeight="1" x14ac:dyDescent="0.25">
      <c r="A209" s="159" t="s">
        <v>25</v>
      </c>
      <c r="B209" s="167" t="s">
        <v>788</v>
      </c>
      <c r="C209" s="110"/>
      <c r="D209" s="165"/>
      <c r="E209" s="165"/>
      <c r="F209" s="165"/>
      <c r="G209" s="109">
        <f t="shared" si="6"/>
        <v>0</v>
      </c>
      <c r="H209" s="113" t="str">
        <f t="shared" si="7"/>
        <v/>
      </c>
      <c r="I209" s="110"/>
      <c r="J209" s="154"/>
      <c r="K209" s="154"/>
      <c r="L209" s="154"/>
      <c r="M209" s="154"/>
      <c r="N209" s="154"/>
      <c r="O209" s="154"/>
    </row>
    <row r="210" spans="1:15" ht="15" customHeight="1" x14ac:dyDescent="0.25">
      <c r="A210" s="159" t="s">
        <v>25</v>
      </c>
      <c r="B210" s="163" t="s">
        <v>789</v>
      </c>
      <c r="C210" s="90">
        <f>+'2020'!E154/1000</f>
        <v>1110.7337199999999</v>
      </c>
      <c r="D210" s="166">
        <f>+'2019'!I129/1000</f>
        <v>1279.2436599999999</v>
      </c>
      <c r="E210" s="166">
        <v>1726.1285800000001</v>
      </c>
      <c r="F210" s="166">
        <f>+'[1]leasing, indtægter,tolke'!G54/1000</f>
        <v>1897.8828600000002</v>
      </c>
      <c r="G210" s="95">
        <f t="shared" si="6"/>
        <v>-168.50993999999992</v>
      </c>
      <c r="H210" s="102" t="str">
        <f t="shared" si="7"/>
        <v>-13,2%▼</v>
      </c>
      <c r="I210" s="90"/>
      <c r="J210" s="154"/>
      <c r="K210" s="154"/>
      <c r="L210" s="154"/>
      <c r="M210" s="154"/>
      <c r="N210" s="154"/>
      <c r="O210" s="154"/>
    </row>
    <row r="211" spans="1:15" ht="15" customHeight="1" x14ac:dyDescent="0.25">
      <c r="A211" s="159" t="s">
        <v>25</v>
      </c>
      <c r="B211" s="173" t="s">
        <v>790</v>
      </c>
      <c r="C211" s="115"/>
      <c r="D211" s="122"/>
      <c r="E211" s="122"/>
      <c r="F211" s="122"/>
      <c r="G211" s="109">
        <f t="shared" si="6"/>
        <v>0</v>
      </c>
      <c r="H211" s="113" t="str">
        <f t="shared" si="7"/>
        <v/>
      </c>
      <c r="I211" s="115"/>
      <c r="J211" s="154"/>
      <c r="K211" s="154"/>
      <c r="L211" s="154"/>
      <c r="M211" s="154"/>
      <c r="N211" s="154"/>
      <c r="O211" s="154"/>
    </row>
    <row r="212" spans="1:15" ht="15" customHeight="1" x14ac:dyDescent="0.25">
      <c r="A212" s="159" t="s">
        <v>25</v>
      </c>
      <c r="B212" s="163" t="s">
        <v>791</v>
      </c>
      <c r="C212" s="90"/>
      <c r="D212" s="166"/>
      <c r="E212" s="166"/>
      <c r="F212" s="166"/>
      <c r="G212" s="95">
        <f t="shared" si="6"/>
        <v>0</v>
      </c>
      <c r="H212" s="102" t="str">
        <f t="shared" si="7"/>
        <v/>
      </c>
      <c r="I212" s="90"/>
      <c r="J212" s="154"/>
      <c r="K212" s="154"/>
      <c r="L212" s="154"/>
      <c r="M212" s="154"/>
      <c r="N212" s="154"/>
      <c r="O212" s="154"/>
    </row>
    <row r="213" spans="1:15" ht="15" customHeight="1" x14ac:dyDescent="0.25">
      <c r="A213" s="159" t="s">
        <v>25</v>
      </c>
      <c r="B213" s="167" t="s">
        <v>792</v>
      </c>
      <c r="C213" s="110"/>
      <c r="D213" s="165"/>
      <c r="E213" s="165"/>
      <c r="F213" s="165"/>
      <c r="G213" s="109">
        <f t="shared" si="6"/>
        <v>0</v>
      </c>
      <c r="H213" s="113" t="str">
        <f t="shared" si="7"/>
        <v/>
      </c>
      <c r="I213" s="110"/>
      <c r="J213" s="154"/>
      <c r="K213" s="154"/>
      <c r="L213" s="154"/>
      <c r="M213" s="154"/>
      <c r="N213" s="154"/>
      <c r="O213" s="154"/>
    </row>
    <row r="214" spans="1:15" ht="15" customHeight="1" x14ac:dyDescent="0.25">
      <c r="A214" s="159" t="s">
        <v>25</v>
      </c>
      <c r="B214" s="163" t="s">
        <v>793</v>
      </c>
      <c r="C214" s="90"/>
      <c r="D214" s="166"/>
      <c r="E214" s="166"/>
      <c r="F214" s="166"/>
      <c r="G214" s="95">
        <f t="shared" si="6"/>
        <v>0</v>
      </c>
      <c r="H214" s="102" t="str">
        <f t="shared" si="7"/>
        <v/>
      </c>
      <c r="I214" s="90"/>
      <c r="J214" s="154"/>
      <c r="K214" s="154"/>
      <c r="L214" s="154"/>
      <c r="M214" s="154"/>
      <c r="N214" s="154"/>
      <c r="O214" s="154"/>
    </row>
    <row r="215" spans="1:15" ht="15" customHeight="1" x14ac:dyDescent="0.25">
      <c r="A215" s="159" t="s">
        <v>25</v>
      </c>
      <c r="B215" s="167" t="s">
        <v>794</v>
      </c>
      <c r="C215" s="110"/>
      <c r="D215" s="165"/>
      <c r="E215" s="165"/>
      <c r="F215" s="165"/>
      <c r="G215" s="109">
        <f t="shared" si="6"/>
        <v>0</v>
      </c>
      <c r="H215" s="113" t="str">
        <f t="shared" si="7"/>
        <v/>
      </c>
      <c r="I215" s="110"/>
      <c r="J215" s="154"/>
      <c r="K215" s="154"/>
      <c r="L215" s="154"/>
      <c r="M215" s="154"/>
      <c r="N215" s="154"/>
      <c r="O215" s="154"/>
    </row>
    <row r="216" spans="1:15" ht="15" customHeight="1" x14ac:dyDescent="0.25">
      <c r="A216" s="159" t="s">
        <v>25</v>
      </c>
      <c r="B216" s="163" t="s">
        <v>795</v>
      </c>
      <c r="C216" s="90"/>
      <c r="D216" s="166"/>
      <c r="E216" s="166"/>
      <c r="F216" s="166"/>
      <c r="G216" s="95">
        <f t="shared" si="6"/>
        <v>0</v>
      </c>
      <c r="H216" s="102" t="str">
        <f t="shared" si="7"/>
        <v/>
      </c>
      <c r="I216" s="90"/>
      <c r="J216" s="154"/>
      <c r="K216" s="154"/>
      <c r="L216" s="154"/>
      <c r="M216" s="154"/>
      <c r="N216" s="154"/>
      <c r="O216" s="154"/>
    </row>
    <row r="217" spans="1:15" ht="15" customHeight="1" x14ac:dyDescent="0.25">
      <c r="A217" s="159" t="s">
        <v>25</v>
      </c>
      <c r="B217" s="167" t="s">
        <v>796</v>
      </c>
      <c r="C217" s="110">
        <v>84812.153590000002</v>
      </c>
      <c r="D217" s="165"/>
      <c r="E217" s="165"/>
      <c r="F217" s="165"/>
      <c r="G217" s="109">
        <f t="shared" si="6"/>
        <v>84812.153590000002</v>
      </c>
      <c r="H217" s="113" t="str">
        <f t="shared" si="7"/>
        <v/>
      </c>
      <c r="I217" s="110"/>
      <c r="J217" s="154"/>
      <c r="K217" s="154"/>
      <c r="L217" s="154"/>
      <c r="M217" s="154"/>
      <c r="N217" s="154"/>
      <c r="O217" s="154"/>
    </row>
    <row r="218" spans="1:15" ht="15" customHeight="1" x14ac:dyDescent="0.25">
      <c r="A218" s="159" t="s">
        <v>25</v>
      </c>
      <c r="B218" s="163" t="s">
        <v>797</v>
      </c>
      <c r="C218" s="90"/>
      <c r="D218" s="166"/>
      <c r="E218" s="166"/>
      <c r="F218" s="166"/>
      <c r="G218" s="95">
        <f t="shared" si="6"/>
        <v>0</v>
      </c>
      <c r="H218" s="102" t="str">
        <f t="shared" si="7"/>
        <v/>
      </c>
      <c r="I218" s="90"/>
      <c r="J218" s="154"/>
      <c r="K218" s="154"/>
      <c r="L218" s="154"/>
      <c r="M218" s="154"/>
      <c r="N218" s="154"/>
      <c r="O218" s="154"/>
    </row>
    <row r="219" spans="1:15" ht="15" customHeight="1" x14ac:dyDescent="0.25">
      <c r="A219" s="159" t="s">
        <v>25</v>
      </c>
      <c r="B219" s="173" t="s">
        <v>186</v>
      </c>
      <c r="C219" s="115"/>
      <c r="D219" s="122">
        <v>0</v>
      </c>
      <c r="E219" s="122">
        <v>0</v>
      </c>
      <c r="F219" s="122"/>
      <c r="G219" s="109">
        <f t="shared" si="6"/>
        <v>0</v>
      </c>
      <c r="H219" s="113" t="str">
        <f t="shared" si="7"/>
        <v/>
      </c>
      <c r="I219" s="115"/>
      <c r="J219" s="154"/>
      <c r="K219" s="154"/>
      <c r="L219" s="154"/>
      <c r="M219" s="154"/>
      <c r="N219" s="154"/>
      <c r="O219" s="154"/>
    </row>
    <row r="220" spans="1:15" ht="15" customHeight="1" x14ac:dyDescent="0.25">
      <c r="A220" s="159" t="s">
        <v>25</v>
      </c>
      <c r="B220" s="198" t="s">
        <v>8</v>
      </c>
      <c r="C220" s="294">
        <f>SUMIFS((C7:C219),(A7:A219),A220)</f>
        <v>178066.50925627281</v>
      </c>
      <c r="D220" s="199">
        <f>SUMIFS((D7:D219),(A7:A219),A220)</f>
        <v>66813.491001461036</v>
      </c>
      <c r="E220" s="199">
        <f>SUMIFS((E7:E219),(A7:A219),A220)</f>
        <v>79620.558051676315</v>
      </c>
      <c r="F220" s="199">
        <f>SUMIFS((F7:F219),(A7:A219),A220)</f>
        <v>80561.085267045346</v>
      </c>
      <c r="G220" s="200">
        <f t="shared" si="6"/>
        <v>111253.01825481177</v>
      </c>
      <c r="H220" s="201" t="str">
        <f t="shared" si="7"/>
        <v>166,5%▲</v>
      </c>
      <c r="I220" s="202"/>
      <c r="J220" s="154"/>
      <c r="K220" s="154"/>
      <c r="L220" s="154"/>
      <c r="M220" s="154"/>
      <c r="N220" s="154"/>
      <c r="O220" s="154"/>
    </row>
    <row r="221" spans="1:15" ht="15" customHeight="1" x14ac:dyDescent="0.25">
      <c r="A221" s="48" t="s">
        <v>26</v>
      </c>
      <c r="B221" s="173"/>
      <c r="C221" s="122"/>
      <c r="D221" s="122"/>
      <c r="E221" s="122"/>
      <c r="F221" s="122">
        <v>0</v>
      </c>
      <c r="G221" s="109">
        <f t="shared" si="6"/>
        <v>0</v>
      </c>
      <c r="H221" s="113" t="str">
        <f t="shared" si="7"/>
        <v/>
      </c>
      <c r="I221" s="115"/>
    </row>
    <row r="222" spans="1:15" ht="15" customHeight="1" x14ac:dyDescent="0.25">
      <c r="A222" s="161" t="s">
        <v>26</v>
      </c>
      <c r="B222" s="163" t="s">
        <v>49</v>
      </c>
      <c r="C222" s="169"/>
      <c r="D222" s="166"/>
      <c r="E222" s="166"/>
      <c r="F222" s="166"/>
      <c r="G222" s="95">
        <f t="shared" si="6"/>
        <v>0</v>
      </c>
      <c r="H222" s="102" t="str">
        <f t="shared" si="7"/>
        <v/>
      </c>
      <c r="I222" s="90"/>
      <c r="J222" s="154"/>
      <c r="K222" s="154"/>
      <c r="L222" s="154"/>
      <c r="M222" s="154"/>
      <c r="N222" s="154"/>
      <c r="O222" s="154"/>
    </row>
    <row r="223" spans="1:15" ht="15" customHeight="1" x14ac:dyDescent="0.25">
      <c r="A223" s="161" t="s">
        <v>26</v>
      </c>
      <c r="B223" s="167" t="s">
        <v>759</v>
      </c>
      <c r="C223" s="168"/>
      <c r="D223" s="165"/>
      <c r="E223" s="165"/>
      <c r="F223" s="165"/>
      <c r="G223" s="109">
        <f t="shared" si="6"/>
        <v>0</v>
      </c>
      <c r="H223" s="113" t="str">
        <f t="shared" si="7"/>
        <v/>
      </c>
      <c r="I223" s="110"/>
      <c r="J223" s="154"/>
      <c r="K223" s="154"/>
      <c r="L223" s="154"/>
      <c r="M223" s="154"/>
      <c r="N223" s="154"/>
      <c r="O223" s="154"/>
    </row>
    <row r="224" spans="1:15" ht="15" customHeight="1" x14ac:dyDescent="0.25">
      <c r="A224" s="161" t="s">
        <v>26</v>
      </c>
      <c r="B224" s="170" t="s">
        <v>760</v>
      </c>
      <c r="C224" s="171"/>
      <c r="D224" s="121"/>
      <c r="E224" s="121"/>
      <c r="F224" s="121"/>
      <c r="G224" s="95">
        <f t="shared" si="6"/>
        <v>0</v>
      </c>
      <c r="H224" s="102" t="str">
        <f t="shared" si="7"/>
        <v/>
      </c>
      <c r="I224" s="111"/>
      <c r="J224" s="154"/>
      <c r="K224" s="154"/>
      <c r="L224" s="154"/>
      <c r="M224" s="154"/>
      <c r="N224" s="154"/>
      <c r="O224" s="154"/>
    </row>
    <row r="225" spans="1:15" ht="15" customHeight="1" x14ac:dyDescent="0.25">
      <c r="A225" s="161" t="s">
        <v>26</v>
      </c>
      <c r="B225" s="167" t="s">
        <v>761</v>
      </c>
      <c r="C225" s="168"/>
      <c r="D225" s="165"/>
      <c r="E225" s="165"/>
      <c r="F225" s="165"/>
      <c r="G225" s="109">
        <f t="shared" si="6"/>
        <v>0</v>
      </c>
      <c r="H225" s="113" t="str">
        <f t="shared" si="7"/>
        <v/>
      </c>
      <c r="I225" s="110"/>
      <c r="J225" s="154"/>
      <c r="K225" s="154"/>
      <c r="L225" s="154"/>
      <c r="M225" s="154"/>
      <c r="N225" s="154"/>
      <c r="O225" s="154"/>
    </row>
    <row r="226" spans="1:15" ht="15" customHeight="1" x14ac:dyDescent="0.25">
      <c r="A226" s="161" t="s">
        <v>26</v>
      </c>
      <c r="B226" s="163" t="s">
        <v>762</v>
      </c>
      <c r="C226" s="169">
        <f>+'2020'!F46/1000</f>
        <v>564.17829000000006</v>
      </c>
      <c r="D226" s="166">
        <f>+'2019'!J182/1000+'2019'!J326/1000</f>
        <v>839.42651000000001</v>
      </c>
      <c r="E226" s="166">
        <v>1387.88732</v>
      </c>
      <c r="F226" s="166">
        <v>1289.19748</v>
      </c>
      <c r="G226" s="95">
        <f t="shared" si="6"/>
        <v>-275.24821999999995</v>
      </c>
      <c r="H226" s="102" t="str">
        <f t="shared" si="7"/>
        <v>-32,8%▼</v>
      </c>
      <c r="I226" s="90"/>
      <c r="J226" s="154"/>
      <c r="K226" s="154"/>
      <c r="L226" s="154"/>
      <c r="M226" s="154"/>
      <c r="N226" s="154"/>
      <c r="O226" s="154"/>
    </row>
    <row r="227" spans="1:15" ht="15" customHeight="1" x14ac:dyDescent="0.25">
      <c r="A227" s="161" t="s">
        <v>26</v>
      </c>
      <c r="B227" s="167" t="s">
        <v>763</v>
      </c>
      <c r="C227" s="168"/>
      <c r="D227" s="165"/>
      <c r="E227" s="165"/>
      <c r="F227" s="165"/>
      <c r="G227" s="109">
        <f t="shared" si="6"/>
        <v>0</v>
      </c>
      <c r="H227" s="113" t="str">
        <f t="shared" si="7"/>
        <v/>
      </c>
      <c r="I227" s="110"/>
      <c r="J227" s="154"/>
      <c r="K227" s="154"/>
      <c r="L227" s="154"/>
      <c r="M227" s="154"/>
      <c r="N227" s="154"/>
      <c r="O227" s="154"/>
    </row>
    <row r="228" spans="1:15" ht="15" customHeight="1" x14ac:dyDescent="0.25">
      <c r="A228" s="161" t="s">
        <v>26</v>
      </c>
      <c r="B228" s="170" t="s">
        <v>764</v>
      </c>
      <c r="C228" s="171"/>
      <c r="D228" s="121"/>
      <c r="E228" s="121"/>
      <c r="F228" s="121"/>
      <c r="G228" s="95">
        <f t="shared" si="6"/>
        <v>0</v>
      </c>
      <c r="H228" s="102" t="str">
        <f t="shared" si="7"/>
        <v/>
      </c>
      <c r="I228" s="111"/>
      <c r="J228" s="154"/>
      <c r="K228" s="154"/>
      <c r="L228" s="154"/>
      <c r="M228" s="154"/>
      <c r="N228" s="154"/>
      <c r="O228" s="154"/>
    </row>
    <row r="229" spans="1:15" ht="15" customHeight="1" x14ac:dyDescent="0.25">
      <c r="A229" s="161" t="s">
        <v>26</v>
      </c>
      <c r="B229" s="173" t="s">
        <v>765</v>
      </c>
      <c r="C229" s="174"/>
      <c r="D229" s="122"/>
      <c r="E229" s="122"/>
      <c r="F229" s="122"/>
      <c r="G229" s="109">
        <f t="shared" si="6"/>
        <v>0</v>
      </c>
      <c r="H229" s="113" t="str">
        <f t="shared" si="7"/>
        <v/>
      </c>
      <c r="I229" s="115"/>
      <c r="J229" s="154"/>
      <c r="K229" s="154"/>
      <c r="L229" s="154"/>
      <c r="M229" s="154"/>
      <c r="N229" s="154"/>
      <c r="O229" s="154"/>
    </row>
    <row r="230" spans="1:15" ht="15" customHeight="1" x14ac:dyDescent="0.25">
      <c r="A230" s="161" t="s">
        <v>26</v>
      </c>
      <c r="B230" s="170" t="s">
        <v>766</v>
      </c>
      <c r="C230" s="171"/>
      <c r="D230" s="121"/>
      <c r="E230" s="121"/>
      <c r="F230" s="121"/>
      <c r="G230" s="95">
        <f t="shared" si="6"/>
        <v>0</v>
      </c>
      <c r="H230" s="102" t="str">
        <f t="shared" si="7"/>
        <v/>
      </c>
      <c r="I230" s="111"/>
      <c r="J230" s="154"/>
      <c r="K230" s="154"/>
      <c r="L230" s="154"/>
      <c r="M230" s="154"/>
      <c r="N230" s="154"/>
      <c r="O230" s="154"/>
    </row>
    <row r="231" spans="1:15" ht="15" customHeight="1" x14ac:dyDescent="0.25">
      <c r="A231" s="161" t="s">
        <v>26</v>
      </c>
      <c r="B231" s="167" t="s">
        <v>767</v>
      </c>
      <c r="C231" s="168"/>
      <c r="D231" s="165"/>
      <c r="E231" s="165"/>
      <c r="F231" s="165"/>
      <c r="G231" s="109">
        <f t="shared" si="6"/>
        <v>0</v>
      </c>
      <c r="H231" s="113" t="str">
        <f t="shared" si="7"/>
        <v/>
      </c>
      <c r="I231" s="110"/>
      <c r="J231" s="154"/>
      <c r="K231" s="154"/>
      <c r="L231" s="154"/>
      <c r="M231" s="154"/>
      <c r="N231" s="154"/>
      <c r="O231" s="154"/>
    </row>
    <row r="232" spans="1:15" ht="15" customHeight="1" x14ac:dyDescent="0.25">
      <c r="A232" s="161" t="s">
        <v>26</v>
      </c>
      <c r="B232" s="163" t="s">
        <v>768</v>
      </c>
      <c r="C232" s="169"/>
      <c r="D232" s="166"/>
      <c r="E232" s="166"/>
      <c r="F232" s="166"/>
      <c r="G232" s="95">
        <f t="shared" si="6"/>
        <v>0</v>
      </c>
      <c r="H232" s="102" t="str">
        <f t="shared" si="7"/>
        <v/>
      </c>
      <c r="I232" s="90"/>
      <c r="J232" s="154"/>
      <c r="K232" s="154"/>
      <c r="L232" s="154"/>
      <c r="M232" s="154"/>
      <c r="N232" s="154"/>
      <c r="O232" s="154"/>
    </row>
    <row r="233" spans="1:15" ht="15" customHeight="1" x14ac:dyDescent="0.25">
      <c r="A233" s="161" t="s">
        <v>26</v>
      </c>
      <c r="B233" s="173" t="s">
        <v>769</v>
      </c>
      <c r="C233" s="174"/>
      <c r="D233" s="122"/>
      <c r="E233" s="122"/>
      <c r="F233" s="122"/>
      <c r="G233" s="109">
        <f t="shared" si="6"/>
        <v>0</v>
      </c>
      <c r="H233" s="113" t="str">
        <f t="shared" si="7"/>
        <v/>
      </c>
      <c r="I233" s="115"/>
      <c r="J233" s="154"/>
      <c r="K233" s="154"/>
      <c r="L233" s="154"/>
      <c r="M233" s="154"/>
      <c r="N233" s="154"/>
      <c r="O233" s="154"/>
    </row>
    <row r="234" spans="1:15" ht="15" customHeight="1" x14ac:dyDescent="0.25">
      <c r="A234" s="161" t="s">
        <v>26</v>
      </c>
      <c r="B234" s="163" t="s">
        <v>770</v>
      </c>
      <c r="C234" s="169"/>
      <c r="D234" s="166"/>
      <c r="E234" s="166"/>
      <c r="F234" s="166"/>
      <c r="G234" s="95">
        <f t="shared" si="6"/>
        <v>0</v>
      </c>
      <c r="H234" s="102" t="str">
        <f t="shared" si="7"/>
        <v/>
      </c>
      <c r="I234" s="90"/>
      <c r="J234" s="154"/>
      <c r="K234" s="154"/>
      <c r="L234" s="154"/>
      <c r="M234" s="154"/>
      <c r="N234" s="154"/>
      <c r="O234" s="154"/>
    </row>
    <row r="235" spans="1:15" ht="15" customHeight="1" x14ac:dyDescent="0.25">
      <c r="A235" s="161" t="s">
        <v>26</v>
      </c>
      <c r="B235" s="173" t="s">
        <v>771</v>
      </c>
      <c r="C235" s="174"/>
      <c r="D235" s="122"/>
      <c r="E235" s="122"/>
      <c r="F235" s="122"/>
      <c r="G235" s="109">
        <f t="shared" si="6"/>
        <v>0</v>
      </c>
      <c r="H235" s="113" t="str">
        <f t="shared" si="7"/>
        <v/>
      </c>
      <c r="I235" s="115"/>
      <c r="J235" s="154"/>
      <c r="K235" s="154"/>
      <c r="L235" s="154"/>
      <c r="M235" s="154"/>
      <c r="N235" s="154"/>
      <c r="O235" s="154"/>
    </row>
    <row r="236" spans="1:15" ht="15" customHeight="1" x14ac:dyDescent="0.25">
      <c r="A236" s="161" t="s">
        <v>26</v>
      </c>
      <c r="B236" s="163" t="s">
        <v>772</v>
      </c>
      <c r="C236" s="169"/>
      <c r="D236" s="166">
        <f>+'2019'!L338/1000</f>
        <v>-172</v>
      </c>
      <c r="E236" s="166">
        <v>-170.00433000000001</v>
      </c>
      <c r="F236" s="166">
        <v>-278.43</v>
      </c>
      <c r="G236" s="95">
        <f t="shared" si="6"/>
        <v>172</v>
      </c>
      <c r="H236" s="102" t="str">
        <f t="shared" si="7"/>
        <v>-100,0%▼</v>
      </c>
      <c r="I236" s="110"/>
      <c r="J236" s="154"/>
      <c r="K236" s="154"/>
      <c r="L236" s="154"/>
      <c r="M236" s="154"/>
      <c r="N236" s="154"/>
      <c r="O236" s="154"/>
    </row>
    <row r="237" spans="1:15" ht="15" customHeight="1" x14ac:dyDescent="0.25">
      <c r="A237" s="161" t="s">
        <v>26</v>
      </c>
      <c r="B237" s="173" t="s">
        <v>773</v>
      </c>
      <c r="C237" s="174"/>
      <c r="D237" s="122"/>
      <c r="E237" s="122"/>
      <c r="F237" s="122"/>
      <c r="G237" s="109">
        <f t="shared" si="6"/>
        <v>0</v>
      </c>
      <c r="H237" s="113" t="str">
        <f t="shared" si="7"/>
        <v/>
      </c>
      <c r="I237" s="115"/>
      <c r="J237" s="154"/>
      <c r="K237" s="154"/>
      <c r="L237" s="154"/>
      <c r="M237" s="154"/>
      <c r="N237" s="154"/>
      <c r="O237" s="154"/>
    </row>
    <row r="238" spans="1:15" ht="15" customHeight="1" x14ac:dyDescent="0.25">
      <c r="A238" s="161" t="s">
        <v>26</v>
      </c>
      <c r="B238" s="163" t="s">
        <v>774</v>
      </c>
      <c r="C238" s="169">
        <f>+'2020'!I9/1000</f>
        <v>-3583.027</v>
      </c>
      <c r="D238" s="166">
        <f>+'2019'!K15/1000</f>
        <v>-6434.7340000000004</v>
      </c>
      <c r="E238" s="166">
        <f>+('Ark1'!J20-'Ark1'!J19-'Ark1'!J13)/1000</f>
        <v>-6129.393</v>
      </c>
      <c r="F238" s="166">
        <f>+('[1]leasing, indtægter,tolke'!G74-'[1]leasing, indtægter,tolke'!E71)/1000</f>
        <v>-4378.7879999999996</v>
      </c>
      <c r="G238" s="95">
        <f t="shared" si="6"/>
        <v>2851.7070000000003</v>
      </c>
      <c r="H238" s="102" t="str">
        <f t="shared" si="7"/>
        <v>-44,3%▼</v>
      </c>
      <c r="I238" s="90"/>
      <c r="J238" s="154"/>
      <c r="K238" s="154"/>
      <c r="L238" s="154"/>
      <c r="M238" s="154"/>
      <c r="N238" s="154"/>
      <c r="O238" s="154"/>
    </row>
    <row r="239" spans="1:15" ht="15" customHeight="1" x14ac:dyDescent="0.25">
      <c r="A239" s="161" t="s">
        <v>26</v>
      </c>
      <c r="B239" s="173" t="s">
        <v>775</v>
      </c>
      <c r="C239" s="174">
        <f>+'2020'!I10/1000</f>
        <v>-1883.1769999999999</v>
      </c>
      <c r="D239" s="122">
        <f>+'2019'!K17/1000</f>
        <v>-1935.7761399999999</v>
      </c>
      <c r="E239" s="122">
        <f>+'Ark1'!J19/1000</f>
        <v>-1784.7429500000001</v>
      </c>
      <c r="F239" s="122">
        <f>+'[1]leasing, indtægter,tolke'!E71/1000</f>
        <v>-622.39099999999996</v>
      </c>
      <c r="G239" s="109">
        <f t="shared" si="6"/>
        <v>52.599140000000034</v>
      </c>
      <c r="H239" s="113" t="str">
        <f t="shared" si="7"/>
        <v>-2,7%</v>
      </c>
      <c r="I239" s="110"/>
      <c r="J239" s="154"/>
      <c r="K239" s="154"/>
      <c r="L239" s="154"/>
      <c r="M239" s="154"/>
      <c r="N239" s="154"/>
      <c r="O239" s="154"/>
    </row>
    <row r="240" spans="1:15" ht="15" customHeight="1" x14ac:dyDescent="0.25">
      <c r="A240" s="161" t="s">
        <v>26</v>
      </c>
      <c r="B240" s="163" t="s">
        <v>776</v>
      </c>
      <c r="C240" s="169"/>
      <c r="D240" s="166"/>
      <c r="E240" s="166"/>
      <c r="F240" s="166"/>
      <c r="G240" s="95">
        <f t="shared" si="6"/>
        <v>0</v>
      </c>
      <c r="H240" s="102" t="str">
        <f t="shared" si="7"/>
        <v/>
      </c>
      <c r="I240" s="90"/>
      <c r="J240" s="154"/>
      <c r="K240" s="154"/>
      <c r="L240" s="154"/>
      <c r="M240" s="154"/>
      <c r="N240" s="154"/>
      <c r="O240" s="154"/>
    </row>
    <row r="241" spans="1:15" ht="15" customHeight="1" x14ac:dyDescent="0.25">
      <c r="A241" s="161" t="s">
        <v>26</v>
      </c>
      <c r="B241" s="173" t="s">
        <v>777</v>
      </c>
      <c r="C241" s="174">
        <f>+'2020'!H599/1000</f>
        <v>554.01834999999994</v>
      </c>
      <c r="D241" s="122">
        <f>+'2019'!J675/1000</f>
        <v>597.42746999999997</v>
      </c>
      <c r="E241" s="122">
        <v>170.46016</v>
      </c>
      <c r="F241" s="122">
        <v>455.5686</v>
      </c>
      <c r="G241" s="109">
        <f t="shared" si="6"/>
        <v>-43.40912000000003</v>
      </c>
      <c r="H241" s="113" t="str">
        <f t="shared" si="7"/>
        <v>-7,3%▼</v>
      </c>
      <c r="I241" s="115"/>
      <c r="J241" s="154"/>
      <c r="K241" s="154"/>
      <c r="L241" s="154"/>
      <c r="M241" s="154"/>
      <c r="N241" s="154"/>
      <c r="O241" s="154"/>
    </row>
    <row r="242" spans="1:15" ht="15" customHeight="1" x14ac:dyDescent="0.25">
      <c r="A242" s="161" t="s">
        <v>26</v>
      </c>
      <c r="B242" s="163" t="s">
        <v>778</v>
      </c>
      <c r="C242" s="169">
        <v>11927.8677036638</v>
      </c>
      <c r="D242" s="166">
        <v>9802.1760668992501</v>
      </c>
      <c r="E242" s="166">
        <v>9068.1225210549492</v>
      </c>
      <c r="F242" s="166">
        <v>11162.8093009722</v>
      </c>
      <c r="G242" s="95">
        <f t="shared" si="6"/>
        <v>2125.6916367645499</v>
      </c>
      <c r="H242" s="102" t="str">
        <f t="shared" si="7"/>
        <v>21,7%▲</v>
      </c>
      <c r="I242" s="90"/>
      <c r="J242" s="154"/>
      <c r="K242" s="154"/>
      <c r="L242" s="154"/>
      <c r="M242" s="154"/>
      <c r="N242" s="154"/>
      <c r="O242" s="154"/>
    </row>
    <row r="243" spans="1:15" ht="15" customHeight="1" x14ac:dyDescent="0.25">
      <c r="A243" s="161" t="s">
        <v>26</v>
      </c>
      <c r="B243" s="167" t="s">
        <v>779</v>
      </c>
      <c r="C243" s="168">
        <f>+'2020'!E448/1000+'2020'!G472/1000</f>
        <v>20918.165329999996</v>
      </c>
      <c r="D243" s="165">
        <f>+'2019'!E530/1000</f>
        <v>21144.836870000003</v>
      </c>
      <c r="E243" s="165">
        <v>25724.70278</v>
      </c>
      <c r="F243" s="165">
        <v>26751.940500000001</v>
      </c>
      <c r="G243" s="109">
        <f t="shared" si="6"/>
        <v>-226.67154000000664</v>
      </c>
      <c r="H243" s="113" t="str">
        <f t="shared" si="7"/>
        <v>-1,1%</v>
      </c>
      <c r="I243" s="110"/>
      <c r="J243" s="154"/>
      <c r="K243" s="154"/>
      <c r="L243" s="154"/>
      <c r="M243" s="154"/>
      <c r="N243" s="154"/>
      <c r="O243" s="154"/>
    </row>
    <row r="244" spans="1:15" ht="15" customHeight="1" x14ac:dyDescent="0.25">
      <c r="A244" s="161" t="s">
        <v>26</v>
      </c>
      <c r="B244" s="170" t="s">
        <v>780</v>
      </c>
      <c r="C244" s="171"/>
      <c r="D244" s="121"/>
      <c r="E244" s="121"/>
      <c r="F244" s="121"/>
      <c r="G244" s="95">
        <f t="shared" si="6"/>
        <v>0</v>
      </c>
      <c r="H244" s="102" t="str">
        <f t="shared" si="7"/>
        <v/>
      </c>
      <c r="I244" s="111"/>
      <c r="J244" s="154"/>
      <c r="K244" s="154"/>
      <c r="L244" s="154"/>
      <c r="M244" s="154"/>
      <c r="N244" s="154"/>
      <c r="O244" s="154"/>
    </row>
    <row r="245" spans="1:15" ht="15" customHeight="1" x14ac:dyDescent="0.25">
      <c r="A245" s="161" t="s">
        <v>26</v>
      </c>
      <c r="B245" s="167" t="s">
        <v>781</v>
      </c>
      <c r="C245" s="168">
        <f>+'2020'!D128/1000</f>
        <v>0</v>
      </c>
      <c r="D245" s="165"/>
      <c r="E245" s="165"/>
      <c r="F245" s="165">
        <f>+'[1]leasing, indtægter,tolke'!F121/1000</f>
        <v>0</v>
      </c>
      <c r="G245" s="109">
        <f t="shared" si="6"/>
        <v>0</v>
      </c>
      <c r="H245" s="113" t="str">
        <f t="shared" si="7"/>
        <v/>
      </c>
      <c r="I245" s="110"/>
      <c r="J245" s="154"/>
      <c r="K245" s="154"/>
      <c r="L245" s="154"/>
      <c r="M245" s="154"/>
      <c r="N245" s="154"/>
      <c r="O245" s="154"/>
    </row>
    <row r="246" spans="1:15" ht="15" customHeight="1" x14ac:dyDescent="0.25">
      <c r="A246" s="161" t="s">
        <v>26</v>
      </c>
      <c r="B246" s="170" t="s">
        <v>782</v>
      </c>
      <c r="C246" s="171"/>
      <c r="D246" s="121"/>
      <c r="E246" s="121"/>
      <c r="F246" s="121"/>
      <c r="G246" s="95">
        <f t="shared" si="6"/>
        <v>0</v>
      </c>
      <c r="H246" s="102" t="str">
        <f t="shared" si="7"/>
        <v/>
      </c>
      <c r="I246" s="111"/>
      <c r="J246" s="154"/>
      <c r="K246" s="154"/>
      <c r="L246" s="154"/>
      <c r="M246" s="154"/>
      <c r="N246" s="154"/>
      <c r="O246" s="154"/>
    </row>
    <row r="247" spans="1:15" ht="15" customHeight="1" x14ac:dyDescent="0.25">
      <c r="A247" s="161" t="s">
        <v>26</v>
      </c>
      <c r="B247" s="167" t="s">
        <v>783</v>
      </c>
      <c r="C247" s="168"/>
      <c r="D247" s="165"/>
      <c r="E247" s="165"/>
      <c r="F247" s="165"/>
      <c r="G247" s="109">
        <f t="shared" si="6"/>
        <v>0</v>
      </c>
      <c r="H247" s="113" t="str">
        <f t="shared" si="7"/>
        <v/>
      </c>
      <c r="I247" s="110"/>
      <c r="J247" s="154"/>
      <c r="K247" s="154"/>
      <c r="L247" s="154"/>
      <c r="M247" s="154"/>
      <c r="N247" s="154"/>
      <c r="O247" s="154"/>
    </row>
    <row r="248" spans="1:15" ht="15" customHeight="1" x14ac:dyDescent="0.25">
      <c r="A248" s="161" t="s">
        <v>26</v>
      </c>
      <c r="B248" s="163" t="s">
        <v>784</v>
      </c>
      <c r="C248" s="169">
        <f>+'2020'!Q695/1000+'2020'!E700/1000</f>
        <v>2057.9425499999998</v>
      </c>
      <c r="D248" s="166"/>
      <c r="E248" s="166"/>
      <c r="F248" s="166"/>
      <c r="G248" s="95">
        <f t="shared" si="6"/>
        <v>2057.9425499999998</v>
      </c>
      <c r="H248" s="102" t="str">
        <f t="shared" si="7"/>
        <v/>
      </c>
      <c r="I248" s="90"/>
      <c r="J248" s="154"/>
      <c r="K248" s="154"/>
      <c r="L248" s="154"/>
      <c r="M248" s="154"/>
      <c r="N248" s="154"/>
      <c r="O248" s="154"/>
    </row>
    <row r="249" spans="1:15" ht="15" customHeight="1" x14ac:dyDescent="0.25">
      <c r="A249" s="161" t="s">
        <v>26</v>
      </c>
      <c r="B249" s="167" t="s">
        <v>785</v>
      </c>
      <c r="C249" s="168"/>
      <c r="D249" s="165"/>
      <c r="E249" s="165"/>
      <c r="F249" s="165"/>
      <c r="G249" s="109">
        <f t="shared" si="6"/>
        <v>0</v>
      </c>
      <c r="H249" s="113" t="str">
        <f t="shared" si="7"/>
        <v/>
      </c>
      <c r="I249" s="110"/>
      <c r="J249" s="154"/>
      <c r="K249" s="154"/>
      <c r="L249" s="154"/>
      <c r="M249" s="154"/>
      <c r="N249" s="154"/>
      <c r="O249" s="154"/>
    </row>
    <row r="250" spans="1:15" ht="15" customHeight="1" x14ac:dyDescent="0.25">
      <c r="A250" s="161" t="s">
        <v>26</v>
      </c>
      <c r="B250" s="170" t="s">
        <v>786</v>
      </c>
      <c r="C250" s="171">
        <f>+'2020'!F686</f>
        <v>5237.0859617814467</v>
      </c>
      <c r="D250" s="121"/>
      <c r="E250" s="121"/>
      <c r="F250" s="121"/>
      <c r="G250" s="95">
        <f t="shared" si="6"/>
        <v>5237.0859617814467</v>
      </c>
      <c r="H250" s="102" t="str">
        <f t="shared" si="7"/>
        <v/>
      </c>
      <c r="I250" s="111"/>
      <c r="J250" s="154"/>
      <c r="K250" s="154"/>
      <c r="L250" s="154"/>
      <c r="M250" s="154"/>
      <c r="N250" s="154"/>
      <c r="O250" s="154"/>
    </row>
    <row r="251" spans="1:15" ht="15" customHeight="1" x14ac:dyDescent="0.25">
      <c r="A251" s="161" t="s">
        <v>26</v>
      </c>
      <c r="B251" s="167" t="s">
        <v>787</v>
      </c>
      <c r="C251" s="168"/>
      <c r="D251" s="165"/>
      <c r="E251" s="165"/>
      <c r="F251" s="165"/>
      <c r="G251" s="109">
        <f t="shared" si="6"/>
        <v>0</v>
      </c>
      <c r="H251" s="113" t="str">
        <f t="shared" si="7"/>
        <v/>
      </c>
      <c r="I251" s="110"/>
      <c r="J251" s="154"/>
      <c r="K251" s="154"/>
      <c r="L251" s="154"/>
      <c r="M251" s="154"/>
      <c r="N251" s="154"/>
      <c r="O251" s="154"/>
    </row>
    <row r="252" spans="1:15" ht="15" customHeight="1" x14ac:dyDescent="0.25">
      <c r="A252" s="161" t="s">
        <v>26</v>
      </c>
      <c r="B252" s="170" t="s">
        <v>788</v>
      </c>
      <c r="C252" s="171"/>
      <c r="D252" s="121"/>
      <c r="E252" s="121"/>
      <c r="F252" s="121"/>
      <c r="G252" s="95">
        <f t="shared" si="6"/>
        <v>0</v>
      </c>
      <c r="H252" s="102" t="str">
        <f t="shared" si="7"/>
        <v/>
      </c>
      <c r="I252" s="111"/>
      <c r="J252" s="154"/>
      <c r="K252" s="154"/>
      <c r="L252" s="154"/>
      <c r="M252" s="154"/>
      <c r="N252" s="154"/>
      <c r="O252" s="154"/>
    </row>
    <row r="253" spans="1:15" ht="15" customHeight="1" x14ac:dyDescent="0.25">
      <c r="A253" s="161" t="s">
        <v>26</v>
      </c>
      <c r="B253" s="167" t="s">
        <v>789</v>
      </c>
      <c r="C253" s="304">
        <f>+'2020'!E148/1000</f>
        <v>66.267020000000002</v>
      </c>
      <c r="D253" s="165">
        <f>+'2019'!I116/1000</f>
        <v>59.443680000000001</v>
      </c>
      <c r="E253" s="165">
        <v>94.999139999999997</v>
      </c>
      <c r="F253" s="165">
        <f>+'[1]leasing, indtægter,tolke'!G48/1000</f>
        <v>128.26814999999999</v>
      </c>
      <c r="G253" s="109">
        <f t="shared" si="6"/>
        <v>6.8233400000000017</v>
      </c>
      <c r="H253" s="113" t="str">
        <f t="shared" si="7"/>
        <v>11,5%▲</v>
      </c>
      <c r="I253" s="110"/>
      <c r="J253" s="154"/>
      <c r="K253" s="154"/>
      <c r="L253" s="154"/>
      <c r="M253" s="154"/>
      <c r="N253" s="154"/>
      <c r="O253" s="154"/>
    </row>
    <row r="254" spans="1:15" ht="15" customHeight="1" x14ac:dyDescent="0.25">
      <c r="A254" s="161" t="s">
        <v>26</v>
      </c>
      <c r="B254" s="163" t="s">
        <v>790</v>
      </c>
      <c r="C254" s="169"/>
      <c r="D254" s="166"/>
      <c r="E254" s="166"/>
      <c r="F254" s="166"/>
      <c r="G254" s="95">
        <f t="shared" si="6"/>
        <v>0</v>
      </c>
      <c r="H254" s="102" t="str">
        <f t="shared" si="7"/>
        <v/>
      </c>
      <c r="I254" s="90"/>
      <c r="J254" s="154"/>
      <c r="K254" s="154"/>
      <c r="L254" s="154"/>
      <c r="M254" s="154"/>
      <c r="N254" s="154"/>
      <c r="O254" s="154"/>
    </row>
    <row r="255" spans="1:15" ht="15" customHeight="1" x14ac:dyDescent="0.25">
      <c r="A255" s="161" t="s">
        <v>26</v>
      </c>
      <c r="B255" s="167" t="s">
        <v>791</v>
      </c>
      <c r="C255" s="168"/>
      <c r="D255" s="165"/>
      <c r="E255" s="165"/>
      <c r="F255" s="165"/>
      <c r="G255" s="109">
        <f t="shared" si="6"/>
        <v>0</v>
      </c>
      <c r="H255" s="113" t="str">
        <f t="shared" si="7"/>
        <v/>
      </c>
      <c r="I255" s="110"/>
      <c r="J255" s="154"/>
      <c r="K255" s="154"/>
      <c r="L255" s="154"/>
      <c r="M255" s="154"/>
      <c r="N255" s="154"/>
      <c r="O255" s="154"/>
    </row>
    <row r="256" spans="1:15" ht="15" customHeight="1" x14ac:dyDescent="0.25">
      <c r="A256" s="161" t="s">
        <v>26</v>
      </c>
      <c r="B256" s="163" t="s">
        <v>792</v>
      </c>
      <c r="C256" s="169"/>
      <c r="D256" s="166"/>
      <c r="E256" s="166"/>
      <c r="F256" s="166"/>
      <c r="G256" s="95">
        <f t="shared" si="6"/>
        <v>0</v>
      </c>
      <c r="H256" s="102" t="str">
        <f t="shared" si="7"/>
        <v/>
      </c>
      <c r="I256" s="90"/>
      <c r="J256" s="154"/>
      <c r="K256" s="154"/>
      <c r="L256" s="154"/>
      <c r="M256" s="154"/>
      <c r="N256" s="154"/>
      <c r="O256" s="154"/>
    </row>
    <row r="257" spans="1:15" ht="15" customHeight="1" x14ac:dyDescent="0.25">
      <c r="A257" s="161" t="s">
        <v>26</v>
      </c>
      <c r="B257" s="167" t="s">
        <v>793</v>
      </c>
      <c r="C257" s="168"/>
      <c r="D257" s="165"/>
      <c r="E257" s="165"/>
      <c r="F257" s="165"/>
      <c r="G257" s="109">
        <f t="shared" si="6"/>
        <v>0</v>
      </c>
      <c r="H257" s="113" t="str">
        <f t="shared" si="7"/>
        <v/>
      </c>
      <c r="I257" s="110"/>
      <c r="J257" s="154"/>
      <c r="K257" s="154"/>
      <c r="L257" s="154"/>
      <c r="M257" s="154"/>
      <c r="N257" s="154"/>
      <c r="O257" s="154"/>
    </row>
    <row r="258" spans="1:15" ht="15" customHeight="1" x14ac:dyDescent="0.25">
      <c r="A258" s="161" t="s">
        <v>26</v>
      </c>
      <c r="B258" s="163" t="s">
        <v>794</v>
      </c>
      <c r="C258" s="169"/>
      <c r="D258" s="166"/>
      <c r="E258" s="166"/>
      <c r="F258" s="166"/>
      <c r="G258" s="95">
        <f t="shared" si="6"/>
        <v>0</v>
      </c>
      <c r="H258" s="102" t="str">
        <f t="shared" si="7"/>
        <v/>
      </c>
      <c r="I258" s="90"/>
      <c r="J258" s="154"/>
      <c r="K258" s="154"/>
      <c r="L258" s="154"/>
      <c r="M258" s="154"/>
      <c r="N258" s="154"/>
      <c r="O258" s="154"/>
    </row>
    <row r="259" spans="1:15" ht="15" customHeight="1" x14ac:dyDescent="0.25">
      <c r="A259" s="161" t="s">
        <v>26</v>
      </c>
      <c r="B259" s="167" t="s">
        <v>795</v>
      </c>
      <c r="C259" s="168"/>
      <c r="D259" s="165"/>
      <c r="E259" s="165"/>
      <c r="F259" s="165"/>
      <c r="G259" s="109">
        <f t="shared" si="6"/>
        <v>0</v>
      </c>
      <c r="H259" s="113" t="str">
        <f t="shared" si="7"/>
        <v/>
      </c>
      <c r="I259" s="110"/>
      <c r="J259" s="154"/>
      <c r="K259" s="154"/>
      <c r="L259" s="154"/>
      <c r="M259" s="154"/>
      <c r="N259" s="154"/>
      <c r="O259" s="154"/>
    </row>
    <row r="260" spans="1:15" ht="15" customHeight="1" x14ac:dyDescent="0.25">
      <c r="A260" s="161" t="s">
        <v>26</v>
      </c>
      <c r="B260" s="163" t="s">
        <v>796</v>
      </c>
      <c r="C260" s="169">
        <v>13656.880687500001</v>
      </c>
      <c r="D260" s="166"/>
      <c r="E260" s="166"/>
      <c r="F260" s="166"/>
      <c r="G260" s="95">
        <f t="shared" si="6"/>
        <v>13656.880687500001</v>
      </c>
      <c r="H260" s="102" t="str">
        <f t="shared" si="7"/>
        <v/>
      </c>
      <c r="I260" s="90"/>
      <c r="J260" s="154"/>
      <c r="K260" s="154"/>
      <c r="L260" s="154"/>
      <c r="M260" s="154"/>
      <c r="N260" s="154"/>
      <c r="O260" s="154"/>
    </row>
    <row r="261" spans="1:15" ht="15" customHeight="1" x14ac:dyDescent="0.25">
      <c r="A261" s="161" t="s">
        <v>26</v>
      </c>
      <c r="B261" s="167" t="s">
        <v>797</v>
      </c>
      <c r="C261" s="168"/>
      <c r="D261" s="165"/>
      <c r="E261" s="165"/>
      <c r="F261" s="165"/>
      <c r="G261" s="109">
        <f t="shared" si="6"/>
        <v>0</v>
      </c>
      <c r="H261" s="113" t="str">
        <f t="shared" si="7"/>
        <v/>
      </c>
      <c r="I261" s="110"/>
      <c r="J261" s="154"/>
      <c r="K261" s="154"/>
      <c r="L261" s="154"/>
      <c r="M261" s="154"/>
      <c r="N261" s="154"/>
      <c r="O261" s="154"/>
    </row>
    <row r="262" spans="1:15" ht="15" customHeight="1" x14ac:dyDescent="0.25">
      <c r="A262" s="161" t="s">
        <v>26</v>
      </c>
      <c r="B262" s="170" t="s">
        <v>186</v>
      </c>
      <c r="C262" s="171"/>
      <c r="D262" s="121">
        <v>0</v>
      </c>
      <c r="E262" s="121">
        <v>0</v>
      </c>
      <c r="F262" s="121"/>
      <c r="G262" s="95">
        <f t="shared" si="6"/>
        <v>0</v>
      </c>
      <c r="H262" s="102" t="str">
        <f t="shared" si="7"/>
        <v/>
      </c>
      <c r="I262" s="111"/>
      <c r="J262" s="154"/>
      <c r="K262" s="154"/>
      <c r="L262" s="154"/>
      <c r="M262" s="154"/>
      <c r="N262" s="154"/>
      <c r="O262" s="154"/>
    </row>
    <row r="263" spans="1:15" ht="15" customHeight="1" x14ac:dyDescent="0.25">
      <c r="A263" s="161" t="s">
        <v>26</v>
      </c>
      <c r="B263" s="183" t="s">
        <v>8</v>
      </c>
      <c r="C263" s="184">
        <f>SUMIFS((C7:C262),(A7:A262),A263)</f>
        <v>49516.201892945246</v>
      </c>
      <c r="D263" s="184">
        <f>SUMIFS((D7:D262),(A7:A262),A263)</f>
        <v>23900.800456899251</v>
      </c>
      <c r="E263" s="184">
        <f>SUMIFS((E7:E262),(A7:A262),A263)</f>
        <v>28362.031641054949</v>
      </c>
      <c r="F263" s="184">
        <f>SUMIFS((F7:F262),(A7:A262),A263)</f>
        <v>34508.175030972205</v>
      </c>
      <c r="G263" s="116">
        <f t="shared" ref="G263:G326" si="8">IF(ISERROR(C263- D263)=TRUE,"",C263 - D263)</f>
        <v>25615.401436045995</v>
      </c>
      <c r="H263" s="117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>107,2%▲</v>
      </c>
      <c r="I263" s="185"/>
      <c r="J263" s="154"/>
      <c r="K263" s="154"/>
      <c r="L263" s="154"/>
      <c r="M263" s="154"/>
      <c r="N263" s="154"/>
      <c r="O263" s="154"/>
    </row>
    <row r="264" spans="1:15" ht="15" customHeight="1" x14ac:dyDescent="0.25">
      <c r="A264" s="129" t="s">
        <v>53</v>
      </c>
      <c r="B264" s="170"/>
      <c r="C264" s="121"/>
      <c r="D264" s="121"/>
      <c r="E264" s="121"/>
      <c r="F264" s="121">
        <v>0</v>
      </c>
      <c r="G264" s="95">
        <f t="shared" si="8"/>
        <v>0</v>
      </c>
      <c r="H264" s="102" t="str">
        <f t="shared" si="9"/>
        <v/>
      </c>
      <c r="I264" s="111"/>
      <c r="J264" s="79"/>
      <c r="K264" s="79"/>
      <c r="L264" s="79"/>
      <c r="M264" s="79"/>
      <c r="N264" s="79"/>
      <c r="O264" s="79"/>
    </row>
    <row r="265" spans="1:15" ht="15" customHeight="1" x14ac:dyDescent="0.25">
      <c r="A265" s="161" t="s">
        <v>53</v>
      </c>
      <c r="B265" s="167" t="s">
        <v>49</v>
      </c>
      <c r="C265" s="168"/>
      <c r="D265" s="165"/>
      <c r="E265" s="165"/>
      <c r="F265" s="165"/>
      <c r="G265" s="109">
        <f t="shared" si="8"/>
        <v>0</v>
      </c>
      <c r="H265" s="113" t="str">
        <f t="shared" si="9"/>
        <v/>
      </c>
      <c r="I265" s="110"/>
      <c r="J265" s="154"/>
      <c r="K265" s="154"/>
      <c r="L265" s="154"/>
      <c r="M265" s="154"/>
      <c r="N265" s="154"/>
      <c r="O265" s="154"/>
    </row>
    <row r="266" spans="1:15" ht="15" customHeight="1" x14ac:dyDescent="0.25">
      <c r="A266" s="161" t="s">
        <v>53</v>
      </c>
      <c r="B266" s="163" t="s">
        <v>759</v>
      </c>
      <c r="C266" s="169"/>
      <c r="D266" s="166"/>
      <c r="E266" s="166"/>
      <c r="F266" s="166"/>
      <c r="G266" s="95">
        <f t="shared" si="8"/>
        <v>0</v>
      </c>
      <c r="H266" s="102" t="str">
        <f t="shared" si="9"/>
        <v/>
      </c>
      <c r="I266" s="90"/>
      <c r="J266" s="154"/>
      <c r="K266" s="154"/>
      <c r="L266" s="154"/>
      <c r="M266" s="154"/>
      <c r="N266" s="154"/>
      <c r="O266" s="154"/>
    </row>
    <row r="267" spans="1:15" ht="15" customHeight="1" x14ac:dyDescent="0.25">
      <c r="A267" s="161" t="s">
        <v>53</v>
      </c>
      <c r="B267" s="173" t="s">
        <v>760</v>
      </c>
      <c r="C267" s="174"/>
      <c r="D267" s="122"/>
      <c r="E267" s="122"/>
      <c r="F267" s="122"/>
      <c r="G267" s="109">
        <f t="shared" si="8"/>
        <v>0</v>
      </c>
      <c r="H267" s="113" t="str">
        <f t="shared" si="9"/>
        <v/>
      </c>
      <c r="I267" s="115"/>
      <c r="J267" s="154"/>
      <c r="K267" s="154"/>
      <c r="L267" s="154"/>
      <c r="M267" s="154"/>
      <c r="N267" s="154"/>
      <c r="O267" s="154"/>
    </row>
    <row r="268" spans="1:15" ht="15" customHeight="1" x14ac:dyDescent="0.25">
      <c r="A268" s="161" t="s">
        <v>53</v>
      </c>
      <c r="B268" s="163" t="s">
        <v>761</v>
      </c>
      <c r="C268" s="169"/>
      <c r="D268" s="166"/>
      <c r="E268" s="166"/>
      <c r="F268" s="166"/>
      <c r="G268" s="95">
        <f t="shared" si="8"/>
        <v>0</v>
      </c>
      <c r="H268" s="102" t="str">
        <f t="shared" si="9"/>
        <v/>
      </c>
      <c r="I268" s="90"/>
      <c r="J268" s="154"/>
      <c r="K268" s="154"/>
      <c r="L268" s="154"/>
      <c r="M268" s="154"/>
      <c r="N268" s="154"/>
      <c r="O268" s="154"/>
    </row>
    <row r="269" spans="1:15" ht="15" customHeight="1" x14ac:dyDescent="0.25">
      <c r="A269" s="161" t="s">
        <v>53</v>
      </c>
      <c r="B269" s="167" t="s">
        <v>762</v>
      </c>
      <c r="C269" s="168"/>
      <c r="D269" s="165"/>
      <c r="E269" s="165"/>
      <c r="F269" s="165"/>
      <c r="G269" s="109">
        <f t="shared" si="8"/>
        <v>0</v>
      </c>
      <c r="H269" s="113" t="str">
        <f t="shared" si="9"/>
        <v/>
      </c>
      <c r="I269" s="110"/>
      <c r="J269" s="154"/>
      <c r="K269" s="154"/>
      <c r="L269" s="154"/>
      <c r="M269" s="154"/>
      <c r="N269" s="154"/>
      <c r="O269" s="154"/>
    </row>
    <row r="270" spans="1:15" ht="15" customHeight="1" x14ac:dyDescent="0.25">
      <c r="A270" s="161" t="s">
        <v>53</v>
      </c>
      <c r="B270" s="163" t="s">
        <v>763</v>
      </c>
      <c r="C270" s="169"/>
      <c r="D270" s="166"/>
      <c r="E270" s="166"/>
      <c r="F270" s="166"/>
      <c r="G270" s="95">
        <f t="shared" si="8"/>
        <v>0</v>
      </c>
      <c r="H270" s="102" t="str">
        <f t="shared" si="9"/>
        <v/>
      </c>
      <c r="I270" s="90"/>
      <c r="J270" s="154"/>
      <c r="K270" s="154"/>
      <c r="L270" s="154"/>
      <c r="M270" s="154"/>
      <c r="N270" s="154"/>
      <c r="O270" s="154"/>
    </row>
    <row r="271" spans="1:15" ht="15" customHeight="1" x14ac:dyDescent="0.25">
      <c r="A271" s="161" t="s">
        <v>53</v>
      </c>
      <c r="B271" s="173" t="s">
        <v>764</v>
      </c>
      <c r="C271" s="174"/>
      <c r="D271" s="122"/>
      <c r="E271" s="122"/>
      <c r="F271" s="122"/>
      <c r="G271" s="109">
        <f t="shared" si="8"/>
        <v>0</v>
      </c>
      <c r="H271" s="113" t="str">
        <f t="shared" si="9"/>
        <v/>
      </c>
      <c r="I271" s="115"/>
      <c r="J271" s="154"/>
      <c r="K271" s="154"/>
      <c r="L271" s="154"/>
      <c r="M271" s="154"/>
      <c r="N271" s="154"/>
      <c r="O271" s="154"/>
    </row>
    <row r="272" spans="1:15" ht="15" customHeight="1" x14ac:dyDescent="0.25">
      <c r="A272" s="161" t="s">
        <v>53</v>
      </c>
      <c r="B272" s="170" t="s">
        <v>765</v>
      </c>
      <c r="C272" s="171"/>
      <c r="D272" s="121"/>
      <c r="E272" s="121"/>
      <c r="F272" s="121"/>
      <c r="G272" s="95">
        <f t="shared" si="8"/>
        <v>0</v>
      </c>
      <c r="H272" s="102" t="str">
        <f t="shared" si="9"/>
        <v/>
      </c>
      <c r="I272" s="111"/>
      <c r="J272" s="154"/>
      <c r="K272" s="154"/>
      <c r="L272" s="154"/>
      <c r="M272" s="154"/>
      <c r="N272" s="154"/>
      <c r="O272" s="154"/>
    </row>
    <row r="273" spans="1:15" ht="15" customHeight="1" x14ac:dyDescent="0.25">
      <c r="A273" s="161" t="s">
        <v>53</v>
      </c>
      <c r="B273" s="173" t="s">
        <v>766</v>
      </c>
      <c r="C273" s="174"/>
      <c r="D273" s="122"/>
      <c r="E273" s="122"/>
      <c r="F273" s="122"/>
      <c r="G273" s="109">
        <f t="shared" si="8"/>
        <v>0</v>
      </c>
      <c r="H273" s="113" t="str">
        <f t="shared" si="9"/>
        <v/>
      </c>
      <c r="I273" s="115"/>
      <c r="J273" s="154"/>
      <c r="K273" s="154"/>
      <c r="L273" s="154"/>
      <c r="M273" s="154"/>
      <c r="N273" s="154"/>
      <c r="O273" s="154"/>
    </row>
    <row r="274" spans="1:15" ht="15" customHeight="1" x14ac:dyDescent="0.25">
      <c r="A274" s="161" t="s">
        <v>53</v>
      </c>
      <c r="B274" s="163" t="s">
        <v>767</v>
      </c>
      <c r="C274" s="169"/>
      <c r="D274" s="166"/>
      <c r="E274" s="166"/>
      <c r="F274" s="166"/>
      <c r="G274" s="95">
        <f t="shared" si="8"/>
        <v>0</v>
      </c>
      <c r="H274" s="102" t="str">
        <f t="shared" si="9"/>
        <v/>
      </c>
      <c r="I274" s="90"/>
      <c r="J274" s="154"/>
      <c r="K274" s="154"/>
      <c r="L274" s="154"/>
      <c r="M274" s="154"/>
      <c r="N274" s="154"/>
      <c r="O274" s="154"/>
    </row>
    <row r="275" spans="1:15" ht="15" customHeight="1" x14ac:dyDescent="0.25">
      <c r="A275" s="161" t="s">
        <v>53</v>
      </c>
      <c r="B275" s="167" t="s">
        <v>768</v>
      </c>
      <c r="C275" s="168"/>
      <c r="D275" s="165"/>
      <c r="E275" s="165"/>
      <c r="F275" s="165"/>
      <c r="G275" s="109">
        <f t="shared" si="8"/>
        <v>0</v>
      </c>
      <c r="H275" s="113" t="str">
        <f t="shared" si="9"/>
        <v/>
      </c>
      <c r="I275" s="110"/>
      <c r="J275" s="154"/>
      <c r="K275" s="154"/>
      <c r="L275" s="154"/>
      <c r="M275" s="154"/>
      <c r="N275" s="154"/>
      <c r="O275" s="154"/>
    </row>
    <row r="276" spans="1:15" ht="15" customHeight="1" x14ac:dyDescent="0.25">
      <c r="A276" s="161" t="s">
        <v>53</v>
      </c>
      <c r="B276" s="170" t="s">
        <v>769</v>
      </c>
      <c r="C276" s="171"/>
      <c r="D276" s="121"/>
      <c r="E276" s="121"/>
      <c r="F276" s="121"/>
      <c r="G276" s="95">
        <f t="shared" si="8"/>
        <v>0</v>
      </c>
      <c r="H276" s="102" t="str">
        <f t="shared" si="9"/>
        <v/>
      </c>
      <c r="I276" s="111"/>
      <c r="J276" s="154"/>
      <c r="K276" s="154"/>
      <c r="L276" s="154"/>
      <c r="M276" s="154"/>
      <c r="N276" s="154"/>
      <c r="O276" s="154"/>
    </row>
    <row r="277" spans="1:15" ht="15" customHeight="1" x14ac:dyDescent="0.25">
      <c r="A277" s="161" t="s">
        <v>53</v>
      </c>
      <c r="B277" s="167" t="s">
        <v>770</v>
      </c>
      <c r="C277" s="168"/>
      <c r="D277" s="165"/>
      <c r="E277" s="165"/>
      <c r="F277" s="165"/>
      <c r="G277" s="109">
        <f t="shared" si="8"/>
        <v>0</v>
      </c>
      <c r="H277" s="113" t="str">
        <f t="shared" si="9"/>
        <v/>
      </c>
      <c r="I277" s="110"/>
      <c r="J277" s="154"/>
      <c r="K277" s="154"/>
      <c r="L277" s="154"/>
      <c r="M277" s="154"/>
      <c r="N277" s="154"/>
      <c r="O277" s="154"/>
    </row>
    <row r="278" spans="1:15" ht="15" customHeight="1" x14ac:dyDescent="0.25">
      <c r="A278" s="161" t="s">
        <v>53</v>
      </c>
      <c r="B278" s="170" t="s">
        <v>771</v>
      </c>
      <c r="C278" s="171"/>
      <c r="D278" s="121"/>
      <c r="E278" s="121"/>
      <c r="F278" s="121"/>
      <c r="G278" s="95">
        <f t="shared" si="8"/>
        <v>0</v>
      </c>
      <c r="H278" s="102" t="str">
        <f t="shared" si="9"/>
        <v/>
      </c>
      <c r="I278" s="111"/>
      <c r="J278" s="154"/>
      <c r="K278" s="154"/>
      <c r="L278" s="154"/>
      <c r="M278" s="154"/>
      <c r="N278" s="154"/>
      <c r="O278" s="154"/>
    </row>
    <row r="279" spans="1:15" ht="15" customHeight="1" x14ac:dyDescent="0.25">
      <c r="A279" s="161" t="s">
        <v>53</v>
      </c>
      <c r="B279" s="167" t="s">
        <v>772</v>
      </c>
      <c r="C279" s="168"/>
      <c r="D279" s="165"/>
      <c r="E279" s="165"/>
      <c r="F279" s="165"/>
      <c r="G279" s="109">
        <f t="shared" si="8"/>
        <v>0</v>
      </c>
      <c r="H279" s="113" t="str">
        <f t="shared" si="9"/>
        <v/>
      </c>
      <c r="I279" s="110"/>
      <c r="J279" s="154"/>
      <c r="K279" s="154"/>
      <c r="L279" s="154"/>
      <c r="M279" s="154"/>
      <c r="N279" s="154"/>
      <c r="O279" s="154"/>
    </row>
    <row r="280" spans="1:15" ht="15" customHeight="1" x14ac:dyDescent="0.25">
      <c r="A280" s="161" t="s">
        <v>53</v>
      </c>
      <c r="B280" s="170" t="s">
        <v>773</v>
      </c>
      <c r="C280" s="171"/>
      <c r="D280" s="121"/>
      <c r="E280" s="121"/>
      <c r="F280" s="121"/>
      <c r="G280" s="95">
        <f t="shared" si="8"/>
        <v>0</v>
      </c>
      <c r="H280" s="102" t="str">
        <f t="shared" si="9"/>
        <v/>
      </c>
      <c r="I280" s="111"/>
      <c r="J280" s="154"/>
      <c r="K280" s="154"/>
      <c r="L280" s="154"/>
      <c r="M280" s="154"/>
      <c r="N280" s="154"/>
      <c r="O280" s="154"/>
    </row>
    <row r="281" spans="1:15" ht="15" customHeight="1" x14ac:dyDescent="0.25">
      <c r="A281" s="161" t="s">
        <v>53</v>
      </c>
      <c r="B281" s="167" t="s">
        <v>774</v>
      </c>
      <c r="C281" s="168">
        <f>+'2020'!I13/1000</f>
        <v>-5900.7169999999996</v>
      </c>
      <c r="D281" s="165">
        <f>+'2019'!K22/1000</f>
        <v>-9483.9779999999992</v>
      </c>
      <c r="E281" s="165"/>
      <c r="F281" s="165"/>
      <c r="G281" s="109">
        <f t="shared" si="8"/>
        <v>3583.2609999999995</v>
      </c>
      <c r="H281" s="113" t="str">
        <f t="shared" si="9"/>
        <v>-37,8%▼</v>
      </c>
      <c r="I281" s="110"/>
      <c r="J281" s="154"/>
      <c r="K281" s="154"/>
      <c r="L281" s="154"/>
      <c r="M281" s="154"/>
      <c r="N281" s="154"/>
      <c r="O281" s="154"/>
    </row>
    <row r="282" spans="1:15" ht="15" customHeight="1" x14ac:dyDescent="0.25">
      <c r="A282" s="161" t="s">
        <v>53</v>
      </c>
      <c r="B282" s="170" t="s">
        <v>775</v>
      </c>
      <c r="C282" s="171"/>
      <c r="D282" s="121"/>
      <c r="E282" s="121"/>
      <c r="F282" s="121"/>
      <c r="G282" s="95">
        <f t="shared" si="8"/>
        <v>0</v>
      </c>
      <c r="H282" s="102" t="str">
        <f t="shared" si="9"/>
        <v/>
      </c>
      <c r="I282" s="111"/>
      <c r="J282" s="154"/>
      <c r="K282" s="154"/>
      <c r="L282" s="154"/>
      <c r="M282" s="154"/>
      <c r="N282" s="154"/>
      <c r="O282" s="154"/>
    </row>
    <row r="283" spans="1:15" ht="15" customHeight="1" x14ac:dyDescent="0.25">
      <c r="A283" s="161" t="s">
        <v>53</v>
      </c>
      <c r="B283" s="167" t="s">
        <v>776</v>
      </c>
      <c r="C283" s="168"/>
      <c r="D283" s="165"/>
      <c r="E283" s="165"/>
      <c r="F283" s="165"/>
      <c r="G283" s="109">
        <f t="shared" si="8"/>
        <v>0</v>
      </c>
      <c r="H283" s="113" t="str">
        <f t="shared" si="9"/>
        <v/>
      </c>
      <c r="I283" s="110"/>
      <c r="J283" s="154"/>
      <c r="K283" s="154"/>
      <c r="L283" s="154"/>
      <c r="M283" s="154"/>
      <c r="N283" s="154"/>
      <c r="O283" s="154"/>
    </row>
    <row r="284" spans="1:15" ht="15" customHeight="1" x14ac:dyDescent="0.25">
      <c r="A284" s="161" t="s">
        <v>53</v>
      </c>
      <c r="B284" s="170" t="s">
        <v>777</v>
      </c>
      <c r="C284" s="293">
        <f>+'2020'!L674/1000</f>
        <v>1.25</v>
      </c>
      <c r="D284" s="121">
        <f>+'2019'!J677/1000</f>
        <v>1.4837499999999999</v>
      </c>
      <c r="E284" s="121"/>
      <c r="F284" s="121"/>
      <c r="G284" s="95">
        <f t="shared" si="8"/>
        <v>-0.2337499999999999</v>
      </c>
      <c r="H284" s="102" t="str">
        <f t="shared" si="9"/>
        <v>-15,8%▼</v>
      </c>
      <c r="I284" s="111"/>
      <c r="J284" s="154"/>
      <c r="K284" s="154"/>
      <c r="L284" s="154"/>
      <c r="M284" s="154"/>
      <c r="N284" s="154"/>
      <c r="O284" s="154"/>
    </row>
    <row r="285" spans="1:15" ht="15" customHeight="1" x14ac:dyDescent="0.25">
      <c r="A285" s="161" t="s">
        <v>53</v>
      </c>
      <c r="B285" s="167" t="s">
        <v>778</v>
      </c>
      <c r="C285" s="168">
        <v>32.426792297290397</v>
      </c>
      <c r="D285" s="165">
        <v>3.7204760810929223</v>
      </c>
      <c r="E285" s="165">
        <v>5.9253630860560298</v>
      </c>
      <c r="F285" s="165">
        <v>26.1306383787039</v>
      </c>
      <c r="G285" s="109">
        <f t="shared" si="8"/>
        <v>28.706316216197475</v>
      </c>
      <c r="H285" s="113" t="str">
        <f t="shared" si="9"/>
        <v>771,6%▲</v>
      </c>
      <c r="I285" s="110"/>
      <c r="J285" s="154"/>
      <c r="K285" s="154"/>
      <c r="L285" s="154"/>
      <c r="M285" s="154"/>
      <c r="N285" s="154"/>
      <c r="O285" s="154"/>
    </row>
    <row r="286" spans="1:15" ht="15" customHeight="1" x14ac:dyDescent="0.25">
      <c r="A286" s="161" t="s">
        <v>53</v>
      </c>
      <c r="B286" s="163" t="s">
        <v>779</v>
      </c>
      <c r="C286" s="169">
        <f>+'2020'!G475/1000</f>
        <v>4.4741599999999995</v>
      </c>
      <c r="D286" s="166">
        <f>+'2019'!I473/1000</f>
        <v>235.42675</v>
      </c>
      <c r="E286" s="166">
        <v>7.3489699999999996</v>
      </c>
      <c r="F286" s="166"/>
      <c r="G286" s="95">
        <f t="shared" si="8"/>
        <v>-230.95258999999999</v>
      </c>
      <c r="H286" s="102" t="str">
        <f t="shared" si="9"/>
        <v>-98,1%▼</v>
      </c>
      <c r="I286" s="90"/>
      <c r="J286" s="154"/>
      <c r="K286" s="154"/>
      <c r="L286" s="154"/>
      <c r="M286" s="154"/>
      <c r="N286" s="154"/>
      <c r="O286" s="154"/>
    </row>
    <row r="287" spans="1:15" ht="15" customHeight="1" x14ac:dyDescent="0.25">
      <c r="A287" s="161" t="s">
        <v>53</v>
      </c>
      <c r="B287" s="173" t="s">
        <v>780</v>
      </c>
      <c r="C287" s="174"/>
      <c r="D287" s="122"/>
      <c r="E287" s="122"/>
      <c r="F287" s="122"/>
      <c r="G287" s="109">
        <f t="shared" si="8"/>
        <v>0</v>
      </c>
      <c r="H287" s="113" t="str">
        <f t="shared" si="9"/>
        <v/>
      </c>
      <c r="I287" s="115"/>
      <c r="J287" s="154"/>
      <c r="K287" s="154"/>
      <c r="L287" s="154"/>
      <c r="M287" s="154"/>
      <c r="N287" s="154"/>
      <c r="O287" s="154"/>
    </row>
    <row r="288" spans="1:15" ht="15" customHeight="1" x14ac:dyDescent="0.25">
      <c r="A288" s="161" t="s">
        <v>53</v>
      </c>
      <c r="B288" s="163" t="s">
        <v>781</v>
      </c>
      <c r="C288" s="169">
        <f>+'2020'!D130/1000</f>
        <v>72.532560000000004</v>
      </c>
      <c r="D288" s="166">
        <f>+'2019'!C161/1000</f>
        <v>-2050.33806</v>
      </c>
      <c r="E288" s="166">
        <f>+'Ark1'!D91/1000</f>
        <v>-535.98191000000008</v>
      </c>
      <c r="F288" s="166">
        <f>+'[1]leasing, indtægter,tolke'!F122/1000</f>
        <v>-12835.96148</v>
      </c>
      <c r="G288" s="95">
        <f t="shared" si="8"/>
        <v>2122.8706200000001</v>
      </c>
      <c r="H288" s="102" t="str">
        <f t="shared" si="9"/>
        <v>-103,5%▼</v>
      </c>
      <c r="I288" s="90"/>
      <c r="J288" s="154"/>
      <c r="K288" s="154"/>
      <c r="L288" s="154"/>
      <c r="M288" s="154"/>
      <c r="N288" s="154"/>
      <c r="O288" s="154"/>
    </row>
    <row r="289" spans="1:15" ht="15" customHeight="1" x14ac:dyDescent="0.25">
      <c r="A289" s="161" t="s">
        <v>53</v>
      </c>
      <c r="B289" s="173" t="s">
        <v>782</v>
      </c>
      <c r="C289" s="174"/>
      <c r="D289" s="122"/>
      <c r="E289" s="122"/>
      <c r="F289" s="122"/>
      <c r="G289" s="109">
        <f t="shared" si="8"/>
        <v>0</v>
      </c>
      <c r="H289" s="113" t="str">
        <f t="shared" si="9"/>
        <v/>
      </c>
      <c r="I289" s="115"/>
      <c r="J289" s="154"/>
      <c r="K289" s="154"/>
      <c r="L289" s="154"/>
      <c r="M289" s="154"/>
      <c r="N289" s="154"/>
      <c r="O289" s="154"/>
    </row>
    <row r="290" spans="1:15" ht="15" customHeight="1" x14ac:dyDescent="0.25">
      <c r="A290" s="161" t="s">
        <v>53</v>
      </c>
      <c r="B290" s="163" t="s">
        <v>783</v>
      </c>
      <c r="C290" s="169"/>
      <c r="D290" s="166"/>
      <c r="E290" s="166"/>
      <c r="F290" s="166"/>
      <c r="G290" s="95">
        <f t="shared" si="8"/>
        <v>0</v>
      </c>
      <c r="H290" s="102" t="str">
        <f t="shared" si="9"/>
        <v/>
      </c>
      <c r="I290" s="90"/>
      <c r="J290" s="154"/>
      <c r="K290" s="154"/>
      <c r="L290" s="154"/>
      <c r="M290" s="154"/>
      <c r="N290" s="154"/>
      <c r="O290" s="154"/>
    </row>
    <row r="291" spans="1:15" ht="15" customHeight="1" x14ac:dyDescent="0.25">
      <c r="A291" s="161" t="s">
        <v>53</v>
      </c>
      <c r="B291" s="167" t="s">
        <v>784</v>
      </c>
      <c r="C291" s="168"/>
      <c r="D291" s="165"/>
      <c r="E291" s="165"/>
      <c r="F291" s="165"/>
      <c r="G291" s="109">
        <f t="shared" si="8"/>
        <v>0</v>
      </c>
      <c r="H291" s="113" t="str">
        <f t="shared" si="9"/>
        <v/>
      </c>
      <c r="I291" s="110"/>
      <c r="J291" s="154"/>
      <c r="K291" s="154"/>
      <c r="L291" s="154"/>
      <c r="M291" s="154"/>
      <c r="N291" s="154"/>
      <c r="O291" s="154"/>
    </row>
    <row r="292" spans="1:15" ht="15" customHeight="1" x14ac:dyDescent="0.25">
      <c r="A292" s="161" t="s">
        <v>53</v>
      </c>
      <c r="B292" s="163" t="s">
        <v>785</v>
      </c>
      <c r="C292" s="169"/>
      <c r="D292" s="166"/>
      <c r="E292" s="166"/>
      <c r="F292" s="166"/>
      <c r="G292" s="95">
        <f t="shared" si="8"/>
        <v>0</v>
      </c>
      <c r="H292" s="102" t="str">
        <f t="shared" si="9"/>
        <v/>
      </c>
      <c r="I292" s="90"/>
      <c r="J292" s="154"/>
      <c r="K292" s="154"/>
      <c r="L292" s="154"/>
      <c r="M292" s="154"/>
      <c r="N292" s="154"/>
      <c r="O292" s="154"/>
    </row>
    <row r="293" spans="1:15" ht="15" customHeight="1" x14ac:dyDescent="0.25">
      <c r="A293" s="161" t="s">
        <v>53</v>
      </c>
      <c r="B293" s="173" t="s">
        <v>786</v>
      </c>
      <c r="C293" s="174"/>
      <c r="D293" s="122"/>
      <c r="E293" s="122"/>
      <c r="F293" s="122"/>
      <c r="G293" s="109">
        <f t="shared" si="8"/>
        <v>0</v>
      </c>
      <c r="H293" s="113" t="str">
        <f t="shared" si="9"/>
        <v/>
      </c>
      <c r="I293" s="115"/>
      <c r="J293" s="154"/>
      <c r="K293" s="154"/>
      <c r="L293" s="154"/>
      <c r="M293" s="154"/>
      <c r="N293" s="154"/>
      <c r="O293" s="154"/>
    </row>
    <row r="294" spans="1:15" ht="15" customHeight="1" x14ac:dyDescent="0.25">
      <c r="A294" s="161" t="s">
        <v>53</v>
      </c>
      <c r="B294" s="163" t="s">
        <v>787</v>
      </c>
      <c r="C294" s="169"/>
      <c r="D294" s="166"/>
      <c r="E294" s="166"/>
      <c r="F294" s="166"/>
      <c r="G294" s="95">
        <f t="shared" si="8"/>
        <v>0</v>
      </c>
      <c r="H294" s="102" t="str">
        <f t="shared" si="9"/>
        <v/>
      </c>
      <c r="I294" s="90"/>
      <c r="J294" s="154"/>
      <c r="K294" s="154"/>
      <c r="L294" s="154"/>
      <c r="M294" s="154"/>
      <c r="N294" s="154"/>
      <c r="O294" s="154"/>
    </row>
    <row r="295" spans="1:15" ht="15" customHeight="1" x14ac:dyDescent="0.25">
      <c r="A295" s="161" t="s">
        <v>53</v>
      </c>
      <c r="B295" s="173" t="s">
        <v>788</v>
      </c>
      <c r="C295" s="174"/>
      <c r="D295" s="122"/>
      <c r="E295" s="122"/>
      <c r="F295" s="122"/>
      <c r="G295" s="109">
        <f t="shared" si="8"/>
        <v>0</v>
      </c>
      <c r="H295" s="113" t="str">
        <f t="shared" si="9"/>
        <v/>
      </c>
      <c r="I295" s="115"/>
      <c r="J295" s="154"/>
      <c r="K295" s="154"/>
      <c r="L295" s="154"/>
      <c r="M295" s="154"/>
      <c r="N295" s="154"/>
      <c r="O295" s="154"/>
    </row>
    <row r="296" spans="1:15" ht="15" customHeight="1" x14ac:dyDescent="0.25">
      <c r="A296" s="161" t="s">
        <v>53</v>
      </c>
      <c r="B296" s="163" t="s">
        <v>789</v>
      </c>
      <c r="C296" s="169">
        <f>+'2020'!E150/1000</f>
        <v>221.93785</v>
      </c>
      <c r="D296" s="166">
        <f>+'2019'!I119/1000</f>
        <v>355.94339000000002</v>
      </c>
      <c r="E296" s="166">
        <v>375.76551999999998</v>
      </c>
      <c r="F296" s="166">
        <f>+'[1]leasing, indtægter,tolke'!G50/1000</f>
        <v>308.49124999999998</v>
      </c>
      <c r="G296" s="95">
        <f t="shared" si="8"/>
        <v>-134.00554000000002</v>
      </c>
      <c r="H296" s="102" t="str">
        <f t="shared" si="9"/>
        <v>-37,6%▼</v>
      </c>
      <c r="I296" s="90"/>
      <c r="J296" s="154"/>
      <c r="K296" s="154"/>
      <c r="L296" s="154"/>
      <c r="M296" s="154"/>
      <c r="N296" s="154"/>
      <c r="O296" s="154"/>
    </row>
    <row r="297" spans="1:15" ht="15" customHeight="1" x14ac:dyDescent="0.25">
      <c r="A297" s="161" t="s">
        <v>53</v>
      </c>
      <c r="B297" s="167" t="s">
        <v>790</v>
      </c>
      <c r="C297" s="168"/>
      <c r="D297" s="165"/>
      <c r="E297" s="165"/>
      <c r="F297" s="165"/>
      <c r="G297" s="109">
        <f t="shared" si="8"/>
        <v>0</v>
      </c>
      <c r="H297" s="113" t="str">
        <f t="shared" si="9"/>
        <v/>
      </c>
      <c r="I297" s="110"/>
      <c r="J297" s="154"/>
      <c r="K297" s="154"/>
      <c r="L297" s="154"/>
      <c r="M297" s="154"/>
      <c r="N297" s="154"/>
      <c r="O297" s="154"/>
    </row>
    <row r="298" spans="1:15" ht="15" customHeight="1" x14ac:dyDescent="0.25">
      <c r="A298" s="161" t="s">
        <v>53</v>
      </c>
      <c r="B298" s="163" t="s">
        <v>791</v>
      </c>
      <c r="C298" s="169"/>
      <c r="D298" s="166"/>
      <c r="E298" s="166"/>
      <c r="F298" s="166"/>
      <c r="G298" s="95">
        <f t="shared" si="8"/>
        <v>0</v>
      </c>
      <c r="H298" s="102" t="str">
        <f t="shared" si="9"/>
        <v/>
      </c>
      <c r="I298" s="90"/>
      <c r="J298" s="154"/>
      <c r="K298" s="154"/>
      <c r="L298" s="154"/>
      <c r="M298" s="154"/>
      <c r="N298" s="154"/>
      <c r="O298" s="154"/>
    </row>
    <row r="299" spans="1:15" ht="15" customHeight="1" x14ac:dyDescent="0.25">
      <c r="A299" s="161" t="s">
        <v>53</v>
      </c>
      <c r="B299" s="167" t="s">
        <v>792</v>
      </c>
      <c r="C299" s="168"/>
      <c r="D299" s="165"/>
      <c r="E299" s="165"/>
      <c r="F299" s="165"/>
      <c r="G299" s="109">
        <f t="shared" si="8"/>
        <v>0</v>
      </c>
      <c r="H299" s="113" t="str">
        <f t="shared" si="9"/>
        <v/>
      </c>
      <c r="I299" s="110"/>
      <c r="J299" s="154"/>
      <c r="K299" s="154"/>
      <c r="L299" s="154"/>
      <c r="M299" s="154"/>
      <c r="N299" s="154"/>
      <c r="O299" s="154"/>
    </row>
    <row r="300" spans="1:15" ht="15" customHeight="1" x14ac:dyDescent="0.25">
      <c r="A300" s="161" t="s">
        <v>53</v>
      </c>
      <c r="B300" s="163" t="s">
        <v>793</v>
      </c>
      <c r="C300" s="169"/>
      <c r="D300" s="166"/>
      <c r="E300" s="166"/>
      <c r="F300" s="166"/>
      <c r="G300" s="95">
        <f t="shared" si="8"/>
        <v>0</v>
      </c>
      <c r="H300" s="102" t="str">
        <f t="shared" si="9"/>
        <v/>
      </c>
      <c r="I300" s="90"/>
      <c r="J300" s="154"/>
      <c r="K300" s="154"/>
      <c r="L300" s="154"/>
      <c r="M300" s="154"/>
      <c r="N300" s="154"/>
      <c r="O300" s="154"/>
    </row>
    <row r="301" spans="1:15" ht="15" customHeight="1" x14ac:dyDescent="0.25">
      <c r="A301" s="161" t="s">
        <v>53</v>
      </c>
      <c r="B301" s="167" t="s">
        <v>794</v>
      </c>
      <c r="C301" s="168"/>
      <c r="D301" s="165"/>
      <c r="E301" s="165"/>
      <c r="F301" s="165"/>
      <c r="G301" s="109">
        <f t="shared" si="8"/>
        <v>0</v>
      </c>
      <c r="H301" s="113" t="str">
        <f t="shared" si="9"/>
        <v/>
      </c>
      <c r="I301" s="110"/>
      <c r="J301" s="154"/>
      <c r="K301" s="154"/>
      <c r="L301" s="154"/>
      <c r="M301" s="154"/>
      <c r="N301" s="154"/>
      <c r="O301" s="154"/>
    </row>
    <row r="302" spans="1:15" ht="15" customHeight="1" x14ac:dyDescent="0.25">
      <c r="A302" s="161" t="s">
        <v>53</v>
      </c>
      <c r="B302" s="163" t="s">
        <v>795</v>
      </c>
      <c r="C302" s="169"/>
      <c r="D302" s="166"/>
      <c r="E302" s="166"/>
      <c r="F302" s="166"/>
      <c r="G302" s="95">
        <f t="shared" si="8"/>
        <v>0</v>
      </c>
      <c r="H302" s="102" t="str">
        <f t="shared" si="9"/>
        <v/>
      </c>
      <c r="I302" s="90"/>
      <c r="J302" s="154"/>
      <c r="K302" s="154"/>
      <c r="L302" s="154"/>
      <c r="M302" s="154"/>
      <c r="N302" s="154"/>
      <c r="O302" s="154"/>
    </row>
    <row r="303" spans="1:15" ht="15" customHeight="1" x14ac:dyDescent="0.25">
      <c r="A303" s="161" t="s">
        <v>53</v>
      </c>
      <c r="B303" s="167" t="s">
        <v>796</v>
      </c>
      <c r="C303" s="168"/>
      <c r="D303" s="165"/>
      <c r="E303" s="165"/>
      <c r="F303" s="165"/>
      <c r="G303" s="109">
        <f t="shared" si="8"/>
        <v>0</v>
      </c>
      <c r="H303" s="113" t="str">
        <f t="shared" si="9"/>
        <v/>
      </c>
      <c r="I303" s="110"/>
      <c r="J303" s="154"/>
      <c r="K303" s="154"/>
      <c r="L303" s="154"/>
      <c r="M303" s="154"/>
      <c r="N303" s="154"/>
      <c r="O303" s="154"/>
    </row>
    <row r="304" spans="1:15" ht="15" customHeight="1" x14ac:dyDescent="0.25">
      <c r="A304" s="161" t="s">
        <v>53</v>
      </c>
      <c r="B304" s="163" t="s">
        <v>797</v>
      </c>
      <c r="C304" s="169"/>
      <c r="D304" s="166"/>
      <c r="E304" s="166"/>
      <c r="F304" s="166"/>
      <c r="G304" s="95">
        <f t="shared" si="8"/>
        <v>0</v>
      </c>
      <c r="H304" s="102" t="str">
        <f t="shared" si="9"/>
        <v/>
      </c>
      <c r="I304" s="90"/>
      <c r="J304" s="154"/>
      <c r="K304" s="154"/>
      <c r="L304" s="154"/>
      <c r="M304" s="154"/>
      <c r="N304" s="154"/>
      <c r="O304" s="154"/>
    </row>
    <row r="305" spans="1:15" ht="15" customHeight="1" x14ac:dyDescent="0.25">
      <c r="A305" s="161" t="s">
        <v>53</v>
      </c>
      <c r="B305" s="173" t="s">
        <v>186</v>
      </c>
      <c r="C305" s="174"/>
      <c r="D305" s="122">
        <v>0</v>
      </c>
      <c r="E305" s="122">
        <v>0</v>
      </c>
      <c r="F305" s="122"/>
      <c r="G305" s="109">
        <f t="shared" si="8"/>
        <v>0</v>
      </c>
      <c r="H305" s="113" t="str">
        <f t="shared" si="9"/>
        <v/>
      </c>
      <c r="I305" s="115"/>
      <c r="J305" s="154"/>
      <c r="K305" s="154"/>
      <c r="L305" s="154"/>
      <c r="M305" s="154"/>
      <c r="N305" s="154"/>
      <c r="O305" s="154"/>
    </row>
    <row r="306" spans="1:15" ht="15" customHeight="1" x14ac:dyDescent="0.25">
      <c r="A306" s="161" t="s">
        <v>53</v>
      </c>
      <c r="B306" s="198" t="s">
        <v>8</v>
      </c>
      <c r="C306" s="199">
        <f>SUMIFS((C7:C305),(A7:A305),A306)</f>
        <v>-5568.0956377027096</v>
      </c>
      <c r="D306" s="199">
        <f>SUMIFS((D7:D305),(A7:A305),A306)</f>
        <v>-10937.741693918906</v>
      </c>
      <c r="E306" s="199">
        <f>SUMIFS((E7:E305),(A7:A305),A306)</f>
        <v>-146.9420569139441</v>
      </c>
      <c r="F306" s="199">
        <f>SUMIFS((F7:F305),(A7:A305),A306)</f>
        <v>-12501.339591621298</v>
      </c>
      <c r="G306" s="200">
        <f t="shared" si="8"/>
        <v>5369.6460562161965</v>
      </c>
      <c r="H306" s="201" t="str">
        <f t="shared" si="9"/>
        <v>-49,1%▼</v>
      </c>
      <c r="I306" s="202"/>
      <c r="J306" s="154"/>
      <c r="K306" s="154"/>
      <c r="L306" s="154"/>
      <c r="M306" s="154"/>
      <c r="N306" s="154"/>
      <c r="O306" s="154"/>
    </row>
    <row r="307" spans="1:15" ht="15" customHeight="1" x14ac:dyDescent="0.25">
      <c r="A307" s="48" t="s">
        <v>27</v>
      </c>
      <c r="B307" s="173"/>
      <c r="C307" s="122"/>
      <c r="D307" s="122"/>
      <c r="E307" s="122"/>
      <c r="F307" s="122">
        <v>0</v>
      </c>
      <c r="G307" s="109">
        <f t="shared" si="8"/>
        <v>0</v>
      </c>
      <c r="H307" s="113" t="str">
        <f t="shared" si="9"/>
        <v/>
      </c>
      <c r="I307" s="115"/>
    </row>
    <row r="308" spans="1:15" ht="15" customHeight="1" x14ac:dyDescent="0.25">
      <c r="A308" s="161" t="s">
        <v>27</v>
      </c>
      <c r="B308" s="163" t="s">
        <v>49</v>
      </c>
      <c r="C308" s="169"/>
      <c r="D308" s="166"/>
      <c r="E308" s="166"/>
      <c r="F308" s="166"/>
      <c r="G308" s="95">
        <f t="shared" si="8"/>
        <v>0</v>
      </c>
      <c r="H308" s="102" t="str">
        <f t="shared" si="9"/>
        <v/>
      </c>
      <c r="I308" s="90"/>
      <c r="J308" s="154"/>
      <c r="K308" s="154"/>
      <c r="L308" s="154"/>
      <c r="M308" s="154"/>
      <c r="N308" s="154"/>
      <c r="O308" s="154"/>
    </row>
    <row r="309" spans="1:15" ht="15" customHeight="1" x14ac:dyDescent="0.25">
      <c r="A309" s="161" t="s">
        <v>27</v>
      </c>
      <c r="B309" s="167" t="s">
        <v>759</v>
      </c>
      <c r="C309" s="168"/>
      <c r="D309" s="165"/>
      <c r="E309" s="165"/>
      <c r="F309" s="165"/>
      <c r="G309" s="109">
        <f t="shared" si="8"/>
        <v>0</v>
      </c>
      <c r="H309" s="113" t="str">
        <f t="shared" si="9"/>
        <v/>
      </c>
      <c r="I309" s="110"/>
      <c r="J309" s="154"/>
      <c r="K309" s="154"/>
      <c r="L309" s="154"/>
      <c r="M309" s="154"/>
      <c r="N309" s="154"/>
      <c r="O309" s="154"/>
    </row>
    <row r="310" spans="1:15" ht="15" customHeight="1" x14ac:dyDescent="0.25">
      <c r="A310" s="161" t="s">
        <v>27</v>
      </c>
      <c r="B310" s="170" t="s">
        <v>760</v>
      </c>
      <c r="C310" s="171"/>
      <c r="D310" s="121"/>
      <c r="E310" s="121"/>
      <c r="F310" s="121"/>
      <c r="G310" s="95">
        <f t="shared" si="8"/>
        <v>0</v>
      </c>
      <c r="H310" s="102" t="str">
        <f t="shared" si="9"/>
        <v/>
      </c>
      <c r="I310" s="111"/>
      <c r="J310" s="154"/>
      <c r="K310" s="154"/>
      <c r="L310" s="154"/>
      <c r="M310" s="154"/>
      <c r="N310" s="154"/>
      <c r="O310" s="154"/>
    </row>
    <row r="311" spans="1:15" ht="15" customHeight="1" x14ac:dyDescent="0.25">
      <c r="A311" s="161" t="s">
        <v>27</v>
      </c>
      <c r="B311" s="167" t="s">
        <v>761</v>
      </c>
      <c r="C311" s="168"/>
      <c r="D311" s="165"/>
      <c r="E311" s="165"/>
      <c r="F311" s="165"/>
      <c r="G311" s="109">
        <f t="shared" si="8"/>
        <v>0</v>
      </c>
      <c r="H311" s="113" t="str">
        <f t="shared" si="9"/>
        <v/>
      </c>
      <c r="I311" s="110"/>
      <c r="J311" s="154"/>
      <c r="K311" s="154"/>
      <c r="L311" s="154"/>
      <c r="M311" s="154"/>
      <c r="N311" s="154"/>
      <c r="O311" s="154"/>
    </row>
    <row r="312" spans="1:15" ht="15" customHeight="1" x14ac:dyDescent="0.25">
      <c r="A312" s="161" t="s">
        <v>27</v>
      </c>
      <c r="B312" s="163" t="s">
        <v>762</v>
      </c>
      <c r="C312" s="169"/>
      <c r="D312" s="166"/>
      <c r="E312" s="166"/>
      <c r="F312" s="166"/>
      <c r="G312" s="95">
        <f t="shared" si="8"/>
        <v>0</v>
      </c>
      <c r="H312" s="102" t="str">
        <f t="shared" si="9"/>
        <v/>
      </c>
      <c r="I312" s="90"/>
      <c r="J312" s="154"/>
      <c r="K312" s="154"/>
      <c r="L312" s="154"/>
      <c r="M312" s="154"/>
      <c r="N312" s="154"/>
      <c r="O312" s="154"/>
    </row>
    <row r="313" spans="1:15" ht="15" customHeight="1" x14ac:dyDescent="0.25">
      <c r="A313" s="161" t="s">
        <v>27</v>
      </c>
      <c r="B313" s="167" t="s">
        <v>763</v>
      </c>
      <c r="C313" s="168"/>
      <c r="D313" s="165"/>
      <c r="E313" s="165"/>
      <c r="F313" s="165"/>
      <c r="G313" s="109">
        <f t="shared" si="8"/>
        <v>0</v>
      </c>
      <c r="H313" s="113" t="str">
        <f t="shared" si="9"/>
        <v/>
      </c>
      <c r="I313" s="110"/>
      <c r="J313" s="154"/>
      <c r="K313" s="154"/>
      <c r="L313" s="154"/>
      <c r="M313" s="154"/>
      <c r="N313" s="154"/>
      <c r="O313" s="154"/>
    </row>
    <row r="314" spans="1:15" ht="15" customHeight="1" x14ac:dyDescent="0.25">
      <c r="A314" s="161" t="s">
        <v>27</v>
      </c>
      <c r="B314" s="170" t="s">
        <v>764</v>
      </c>
      <c r="C314" s="171"/>
      <c r="D314" s="121"/>
      <c r="E314" s="121"/>
      <c r="F314" s="121"/>
      <c r="G314" s="95">
        <f t="shared" si="8"/>
        <v>0</v>
      </c>
      <c r="H314" s="102" t="str">
        <f t="shared" si="9"/>
        <v/>
      </c>
      <c r="I314" s="111"/>
      <c r="J314" s="154"/>
      <c r="K314" s="154"/>
      <c r="L314" s="154"/>
      <c r="M314" s="154"/>
      <c r="N314" s="154"/>
      <c r="O314" s="154"/>
    </row>
    <row r="315" spans="1:15" ht="15" customHeight="1" x14ac:dyDescent="0.25">
      <c r="A315" s="161" t="s">
        <v>27</v>
      </c>
      <c r="B315" s="173" t="s">
        <v>765</v>
      </c>
      <c r="C315" s="174"/>
      <c r="D315" s="122"/>
      <c r="E315" s="122"/>
      <c r="F315" s="122"/>
      <c r="G315" s="109">
        <f t="shared" si="8"/>
        <v>0</v>
      </c>
      <c r="H315" s="113" t="str">
        <f t="shared" si="9"/>
        <v/>
      </c>
      <c r="I315" s="115"/>
      <c r="J315" s="154"/>
      <c r="K315" s="154"/>
      <c r="L315" s="154"/>
      <c r="M315" s="154"/>
      <c r="N315" s="154"/>
      <c r="O315" s="154"/>
    </row>
    <row r="316" spans="1:15" ht="15" customHeight="1" x14ac:dyDescent="0.25">
      <c r="A316" s="161" t="s">
        <v>27</v>
      </c>
      <c r="B316" s="170" t="s">
        <v>766</v>
      </c>
      <c r="C316" s="171"/>
      <c r="D316" s="121"/>
      <c r="E316" s="121"/>
      <c r="F316" s="121"/>
      <c r="G316" s="95">
        <f t="shared" si="8"/>
        <v>0</v>
      </c>
      <c r="H316" s="102" t="str">
        <f t="shared" si="9"/>
        <v/>
      </c>
      <c r="I316" s="111"/>
      <c r="J316" s="154"/>
      <c r="K316" s="154"/>
      <c r="L316" s="154"/>
      <c r="M316" s="154"/>
      <c r="N316" s="154"/>
      <c r="O316" s="154"/>
    </row>
    <row r="317" spans="1:15" ht="15" customHeight="1" x14ac:dyDescent="0.25">
      <c r="A317" s="161" t="s">
        <v>27</v>
      </c>
      <c r="B317" s="167" t="s">
        <v>767</v>
      </c>
      <c r="C317" s="168"/>
      <c r="D317" s="165"/>
      <c r="E317" s="165"/>
      <c r="F317" s="165"/>
      <c r="G317" s="109">
        <f t="shared" si="8"/>
        <v>0</v>
      </c>
      <c r="H317" s="113" t="str">
        <f t="shared" si="9"/>
        <v/>
      </c>
      <c r="I317" s="110"/>
      <c r="J317" s="154"/>
      <c r="K317" s="154"/>
      <c r="L317" s="154"/>
      <c r="M317" s="154"/>
      <c r="N317" s="154"/>
      <c r="O317" s="154"/>
    </row>
    <row r="318" spans="1:15" ht="15" customHeight="1" x14ac:dyDescent="0.25">
      <c r="A318" s="161" t="s">
        <v>27</v>
      </c>
      <c r="B318" s="163" t="s">
        <v>768</v>
      </c>
      <c r="C318" s="169"/>
      <c r="D318" s="166"/>
      <c r="E318" s="166"/>
      <c r="F318" s="166"/>
      <c r="G318" s="95">
        <f t="shared" si="8"/>
        <v>0</v>
      </c>
      <c r="H318" s="102" t="str">
        <f t="shared" si="9"/>
        <v/>
      </c>
      <c r="I318" s="90"/>
      <c r="J318" s="154"/>
      <c r="K318" s="154"/>
      <c r="L318" s="154"/>
      <c r="M318" s="154"/>
      <c r="N318" s="154"/>
      <c r="O318" s="154"/>
    </row>
    <row r="319" spans="1:15" ht="15" customHeight="1" x14ac:dyDescent="0.25">
      <c r="A319" s="161" t="s">
        <v>27</v>
      </c>
      <c r="B319" s="173" t="s">
        <v>769</v>
      </c>
      <c r="C319" s="174"/>
      <c r="D319" s="122"/>
      <c r="E319" s="122"/>
      <c r="F319" s="122"/>
      <c r="G319" s="109">
        <f t="shared" si="8"/>
        <v>0</v>
      </c>
      <c r="H319" s="113" t="str">
        <f t="shared" si="9"/>
        <v/>
      </c>
      <c r="I319" s="115"/>
      <c r="J319" s="154"/>
      <c r="K319" s="154"/>
      <c r="L319" s="154"/>
      <c r="M319" s="154"/>
      <c r="N319" s="154"/>
      <c r="O319" s="154"/>
    </row>
    <row r="320" spans="1:15" ht="15" customHeight="1" x14ac:dyDescent="0.25">
      <c r="A320" s="161" t="s">
        <v>27</v>
      </c>
      <c r="B320" s="163" t="s">
        <v>770</v>
      </c>
      <c r="C320" s="169"/>
      <c r="D320" s="166"/>
      <c r="E320" s="166"/>
      <c r="F320" s="166"/>
      <c r="G320" s="95">
        <f t="shared" si="8"/>
        <v>0</v>
      </c>
      <c r="H320" s="102" t="str">
        <f t="shared" si="9"/>
        <v/>
      </c>
      <c r="I320" s="90"/>
      <c r="J320" s="154"/>
      <c r="K320" s="154"/>
      <c r="L320" s="154"/>
      <c r="M320" s="154"/>
      <c r="N320" s="154"/>
      <c r="O320" s="154"/>
    </row>
    <row r="321" spans="1:15" ht="15" customHeight="1" x14ac:dyDescent="0.25">
      <c r="A321" s="161" t="s">
        <v>27</v>
      </c>
      <c r="B321" s="173" t="s">
        <v>771</v>
      </c>
      <c r="C321" s="174"/>
      <c r="D321" s="122"/>
      <c r="E321" s="122"/>
      <c r="F321" s="122"/>
      <c r="G321" s="109">
        <f t="shared" si="8"/>
        <v>0</v>
      </c>
      <c r="H321" s="113" t="str">
        <f t="shared" si="9"/>
        <v/>
      </c>
      <c r="I321" s="115"/>
      <c r="J321" s="154"/>
      <c r="K321" s="154"/>
      <c r="L321" s="154"/>
      <c r="M321" s="154"/>
      <c r="N321" s="154"/>
      <c r="O321" s="154"/>
    </row>
    <row r="322" spans="1:15" ht="15" customHeight="1" x14ac:dyDescent="0.25">
      <c r="A322" s="161" t="s">
        <v>27</v>
      </c>
      <c r="B322" s="163" t="s">
        <v>772</v>
      </c>
      <c r="C322" s="169"/>
      <c r="D322" s="166"/>
      <c r="E322" s="166"/>
      <c r="F322" s="166"/>
      <c r="G322" s="95">
        <f t="shared" si="8"/>
        <v>0</v>
      </c>
      <c r="H322" s="102" t="str">
        <f t="shared" si="9"/>
        <v/>
      </c>
      <c r="I322" s="90"/>
      <c r="J322" s="154"/>
      <c r="K322" s="154"/>
      <c r="L322" s="154"/>
      <c r="M322" s="154"/>
      <c r="N322" s="154"/>
      <c r="O322" s="154"/>
    </row>
    <row r="323" spans="1:15" ht="15" customHeight="1" x14ac:dyDescent="0.25">
      <c r="A323" s="161" t="s">
        <v>27</v>
      </c>
      <c r="B323" s="173" t="s">
        <v>773</v>
      </c>
      <c r="C323" s="174"/>
      <c r="D323" s="122"/>
      <c r="E323" s="122"/>
      <c r="F323" s="122"/>
      <c r="G323" s="109">
        <f t="shared" si="8"/>
        <v>0</v>
      </c>
      <c r="H323" s="113" t="str">
        <f t="shared" si="9"/>
        <v/>
      </c>
      <c r="I323" s="115"/>
      <c r="J323" s="154"/>
      <c r="K323" s="154"/>
      <c r="L323" s="154"/>
      <c r="M323" s="154"/>
      <c r="N323" s="154"/>
      <c r="O323" s="154"/>
    </row>
    <row r="324" spans="1:15" ht="15" customHeight="1" x14ac:dyDescent="0.25">
      <c r="A324" s="161" t="s">
        <v>27</v>
      </c>
      <c r="B324" s="163" t="s">
        <v>774</v>
      </c>
      <c r="C324" s="169"/>
      <c r="D324" s="166"/>
      <c r="E324" s="166"/>
      <c r="F324" s="166"/>
      <c r="G324" s="95">
        <f t="shared" si="8"/>
        <v>0</v>
      </c>
      <c r="H324" s="102" t="str">
        <f t="shared" si="9"/>
        <v/>
      </c>
      <c r="I324" s="90"/>
      <c r="J324" s="154"/>
      <c r="K324" s="154"/>
      <c r="L324" s="154"/>
      <c r="M324" s="154"/>
      <c r="N324" s="154"/>
      <c r="O324" s="154"/>
    </row>
    <row r="325" spans="1:15" ht="15" customHeight="1" x14ac:dyDescent="0.25">
      <c r="A325" s="161" t="s">
        <v>27</v>
      </c>
      <c r="B325" s="173" t="s">
        <v>775</v>
      </c>
      <c r="C325" s="174"/>
      <c r="D325" s="122"/>
      <c r="E325" s="122"/>
      <c r="F325" s="122"/>
      <c r="G325" s="109">
        <f t="shared" si="8"/>
        <v>0</v>
      </c>
      <c r="H325" s="113" t="str">
        <f t="shared" si="9"/>
        <v/>
      </c>
      <c r="I325" s="115"/>
      <c r="J325" s="154"/>
      <c r="K325" s="154"/>
      <c r="L325" s="154"/>
      <c r="M325" s="154"/>
      <c r="N325" s="154"/>
      <c r="O325" s="154"/>
    </row>
    <row r="326" spans="1:15" ht="15" customHeight="1" x14ac:dyDescent="0.25">
      <c r="A326" s="161" t="s">
        <v>27</v>
      </c>
      <c r="B326" s="163" t="s">
        <v>776</v>
      </c>
      <c r="C326" s="169"/>
      <c r="D326" s="166"/>
      <c r="E326" s="166"/>
      <c r="F326" s="166"/>
      <c r="G326" s="95">
        <f t="shared" si="8"/>
        <v>0</v>
      </c>
      <c r="H326" s="102" t="str">
        <f t="shared" si="9"/>
        <v/>
      </c>
      <c r="I326" s="90"/>
      <c r="J326" s="154"/>
      <c r="K326" s="154"/>
      <c r="L326" s="154"/>
      <c r="M326" s="154"/>
      <c r="N326" s="154"/>
      <c r="O326" s="154"/>
    </row>
    <row r="327" spans="1:15" ht="15" customHeight="1" x14ac:dyDescent="0.25">
      <c r="A327" s="161" t="s">
        <v>27</v>
      </c>
      <c r="B327" s="173" t="s">
        <v>777</v>
      </c>
      <c r="C327" s="174"/>
      <c r="D327" s="122"/>
      <c r="E327" s="122"/>
      <c r="F327" s="122"/>
      <c r="G327" s="109">
        <f t="shared" ref="G327:G392" si="10">IF(ISERROR(C327- D327)=TRUE,"",C327 - D327)</f>
        <v>0</v>
      </c>
      <c r="H327" s="113" t="str">
        <f t="shared" ref="H327:H392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/>
      </c>
      <c r="I327" s="115"/>
      <c r="J327" s="154"/>
      <c r="K327" s="154"/>
      <c r="L327" s="154"/>
      <c r="M327" s="154"/>
      <c r="N327" s="154"/>
      <c r="O327" s="154"/>
    </row>
    <row r="328" spans="1:15" ht="15" customHeight="1" x14ac:dyDescent="0.25">
      <c r="A328" s="161" t="s">
        <v>27</v>
      </c>
      <c r="B328" s="163" t="s">
        <v>778</v>
      </c>
      <c r="C328" s="169"/>
      <c r="D328" s="166"/>
      <c r="E328" s="166"/>
      <c r="F328" s="166"/>
      <c r="G328" s="95">
        <f t="shared" si="10"/>
        <v>0</v>
      </c>
      <c r="H328" s="102" t="str">
        <f t="shared" si="11"/>
        <v/>
      </c>
      <c r="I328" s="90"/>
      <c r="J328" s="154"/>
      <c r="K328" s="154"/>
      <c r="L328" s="154"/>
      <c r="M328" s="154"/>
      <c r="N328" s="154"/>
      <c r="O328" s="154"/>
    </row>
    <row r="329" spans="1:15" ht="15" customHeight="1" x14ac:dyDescent="0.25">
      <c r="A329" s="161" t="s">
        <v>27</v>
      </c>
      <c r="B329" s="167" t="s">
        <v>779</v>
      </c>
      <c r="C329" s="168"/>
      <c r="D329" s="165"/>
      <c r="E329" s="165"/>
      <c r="F329" s="165"/>
      <c r="G329" s="109">
        <f t="shared" si="10"/>
        <v>0</v>
      </c>
      <c r="H329" s="113" t="str">
        <f t="shared" si="11"/>
        <v/>
      </c>
      <c r="I329" s="110"/>
      <c r="J329" s="154"/>
      <c r="K329" s="154"/>
      <c r="L329" s="154"/>
      <c r="M329" s="154"/>
      <c r="N329" s="154"/>
      <c r="O329" s="154"/>
    </row>
    <row r="330" spans="1:15" ht="15" customHeight="1" x14ac:dyDescent="0.25">
      <c r="A330" s="161" t="s">
        <v>27</v>
      </c>
      <c r="B330" s="170" t="s">
        <v>780</v>
      </c>
      <c r="C330" s="171"/>
      <c r="D330" s="121"/>
      <c r="E330" s="121"/>
      <c r="F330" s="121"/>
      <c r="G330" s="95">
        <f t="shared" si="10"/>
        <v>0</v>
      </c>
      <c r="H330" s="102" t="str">
        <f t="shared" si="11"/>
        <v/>
      </c>
      <c r="I330" s="111"/>
      <c r="J330" s="154"/>
      <c r="K330" s="154"/>
      <c r="L330" s="154"/>
      <c r="M330" s="154"/>
      <c r="N330" s="154"/>
      <c r="O330" s="154"/>
    </row>
    <row r="331" spans="1:15" ht="15" customHeight="1" x14ac:dyDescent="0.25">
      <c r="A331" s="161" t="s">
        <v>27</v>
      </c>
      <c r="B331" s="167" t="s">
        <v>781</v>
      </c>
      <c r="C331" s="168"/>
      <c r="D331" s="165"/>
      <c r="E331" s="165"/>
      <c r="F331" s="165"/>
      <c r="G331" s="109">
        <f t="shared" si="10"/>
        <v>0</v>
      </c>
      <c r="H331" s="113" t="str">
        <f t="shared" si="11"/>
        <v/>
      </c>
      <c r="I331" s="110"/>
      <c r="J331" s="154"/>
      <c r="K331" s="154"/>
      <c r="L331" s="154"/>
      <c r="M331" s="154"/>
      <c r="N331" s="154"/>
      <c r="O331" s="154"/>
    </row>
    <row r="332" spans="1:15" ht="15" customHeight="1" x14ac:dyDescent="0.25">
      <c r="A332" s="161" t="s">
        <v>27</v>
      </c>
      <c r="B332" s="170" t="s">
        <v>782</v>
      </c>
      <c r="C332" s="171"/>
      <c r="D332" s="121">
        <v>192475.56798625999</v>
      </c>
      <c r="E332" s="121">
        <v>342104.78915579943</v>
      </c>
      <c r="F332" s="121">
        <v>321101.68517357006</v>
      </c>
      <c r="G332" s="95">
        <f t="shared" si="10"/>
        <v>-192475.56798625999</v>
      </c>
      <c r="H332" s="102" t="str">
        <f t="shared" si="11"/>
        <v>-100,0%▼</v>
      </c>
      <c r="I332" s="111"/>
      <c r="J332" s="154"/>
      <c r="K332" s="154"/>
      <c r="L332" s="154"/>
      <c r="M332" s="154"/>
      <c r="N332" s="154"/>
      <c r="O332" s="154"/>
    </row>
    <row r="333" spans="1:15" ht="15" customHeight="1" x14ac:dyDescent="0.25">
      <c r="A333" s="161" t="s">
        <v>27</v>
      </c>
      <c r="B333" s="167" t="s">
        <v>783</v>
      </c>
      <c r="C333" s="168"/>
      <c r="D333" s="165"/>
      <c r="E333" s="165"/>
      <c r="F333" s="165"/>
      <c r="G333" s="109">
        <f t="shared" si="10"/>
        <v>0</v>
      </c>
      <c r="H333" s="113" t="str">
        <f t="shared" si="11"/>
        <v/>
      </c>
      <c r="I333" s="110"/>
      <c r="J333" s="154"/>
      <c r="K333" s="154"/>
      <c r="L333" s="154"/>
      <c r="M333" s="154"/>
      <c r="N333" s="154"/>
      <c r="O333" s="154"/>
    </row>
    <row r="334" spans="1:15" ht="15" customHeight="1" x14ac:dyDescent="0.25">
      <c r="A334" s="161" t="s">
        <v>27</v>
      </c>
      <c r="B334" s="163" t="s">
        <v>784</v>
      </c>
      <c r="C334" s="169"/>
      <c r="D334" s="166"/>
      <c r="E334" s="166"/>
      <c r="F334" s="166"/>
      <c r="G334" s="95">
        <f t="shared" si="10"/>
        <v>0</v>
      </c>
      <c r="H334" s="102" t="str">
        <f t="shared" si="11"/>
        <v/>
      </c>
      <c r="I334" s="90"/>
      <c r="J334" s="154"/>
      <c r="K334" s="154"/>
      <c r="L334" s="154"/>
      <c r="M334" s="154"/>
      <c r="N334" s="154"/>
      <c r="O334" s="154"/>
    </row>
    <row r="335" spans="1:15" ht="15" customHeight="1" x14ac:dyDescent="0.25">
      <c r="A335" s="161" t="s">
        <v>27</v>
      </c>
      <c r="B335" s="167" t="s">
        <v>785</v>
      </c>
      <c r="C335" s="168"/>
      <c r="D335" s="165"/>
      <c r="E335" s="165"/>
      <c r="F335" s="165"/>
      <c r="G335" s="109">
        <f t="shared" si="10"/>
        <v>0</v>
      </c>
      <c r="H335" s="113" t="str">
        <f t="shared" si="11"/>
        <v/>
      </c>
      <c r="I335" s="110"/>
      <c r="J335" s="154"/>
      <c r="K335" s="154"/>
      <c r="L335" s="154"/>
      <c r="M335" s="154"/>
      <c r="N335" s="154"/>
      <c r="O335" s="154"/>
    </row>
    <row r="336" spans="1:15" ht="15" customHeight="1" x14ac:dyDescent="0.25">
      <c r="A336" s="161" t="s">
        <v>27</v>
      </c>
      <c r="B336" s="170" t="s">
        <v>786</v>
      </c>
      <c r="C336" s="171"/>
      <c r="D336" s="121"/>
      <c r="E336" s="121"/>
      <c r="F336" s="121"/>
      <c r="G336" s="95">
        <f t="shared" si="10"/>
        <v>0</v>
      </c>
      <c r="H336" s="102" t="str">
        <f t="shared" si="11"/>
        <v/>
      </c>
      <c r="I336" s="111"/>
      <c r="J336" s="154"/>
      <c r="K336" s="154"/>
      <c r="L336" s="154"/>
      <c r="M336" s="154"/>
      <c r="N336" s="154"/>
      <c r="O336" s="154"/>
    </row>
    <row r="337" spans="1:15" ht="15" customHeight="1" x14ac:dyDescent="0.25">
      <c r="A337" s="161" t="s">
        <v>27</v>
      </c>
      <c r="B337" s="167" t="s">
        <v>787</v>
      </c>
      <c r="C337" s="168"/>
      <c r="D337" s="165"/>
      <c r="E337" s="165"/>
      <c r="F337" s="165"/>
      <c r="G337" s="109">
        <f t="shared" si="10"/>
        <v>0</v>
      </c>
      <c r="H337" s="113" t="str">
        <f t="shared" si="11"/>
        <v/>
      </c>
      <c r="I337" s="110"/>
      <c r="J337" s="154"/>
      <c r="K337" s="154"/>
      <c r="L337" s="154"/>
      <c r="M337" s="154"/>
      <c r="N337" s="154"/>
      <c r="O337" s="154"/>
    </row>
    <row r="338" spans="1:15" ht="15" customHeight="1" x14ac:dyDescent="0.25">
      <c r="A338" s="161" t="s">
        <v>27</v>
      </c>
      <c r="B338" s="170" t="s">
        <v>788</v>
      </c>
      <c r="C338" s="171"/>
      <c r="D338" s="121"/>
      <c r="E338" s="121"/>
      <c r="F338" s="121"/>
      <c r="G338" s="95">
        <f t="shared" si="10"/>
        <v>0</v>
      </c>
      <c r="H338" s="102" t="str">
        <f t="shared" si="11"/>
        <v/>
      </c>
      <c r="I338" s="111"/>
      <c r="J338" s="154"/>
      <c r="K338" s="154"/>
      <c r="L338" s="154"/>
      <c r="M338" s="154"/>
      <c r="N338" s="154"/>
      <c r="O338" s="154"/>
    </row>
    <row r="339" spans="1:15" ht="15" customHeight="1" x14ac:dyDescent="0.25">
      <c r="A339" s="161" t="s">
        <v>27</v>
      </c>
      <c r="B339" s="167" t="s">
        <v>789</v>
      </c>
      <c r="C339" s="168"/>
      <c r="D339" s="165"/>
      <c r="E339" s="165"/>
      <c r="F339" s="165"/>
      <c r="G339" s="109">
        <f t="shared" si="10"/>
        <v>0</v>
      </c>
      <c r="H339" s="113" t="str">
        <f t="shared" si="11"/>
        <v/>
      </c>
      <c r="I339" s="110"/>
      <c r="J339" s="154"/>
      <c r="K339" s="154"/>
      <c r="L339" s="154"/>
      <c r="M339" s="154"/>
      <c r="N339" s="154"/>
      <c r="O339" s="154"/>
    </row>
    <row r="340" spans="1:15" ht="15" customHeight="1" x14ac:dyDescent="0.25">
      <c r="A340" s="161" t="s">
        <v>27</v>
      </c>
      <c r="B340" s="163" t="s">
        <v>790</v>
      </c>
      <c r="C340" s="169"/>
      <c r="D340" s="166"/>
      <c r="E340" s="166"/>
      <c r="F340" s="166"/>
      <c r="G340" s="95">
        <f t="shared" si="10"/>
        <v>0</v>
      </c>
      <c r="H340" s="102" t="str">
        <f t="shared" si="11"/>
        <v/>
      </c>
      <c r="I340" s="90"/>
      <c r="J340" s="154"/>
      <c r="K340" s="154"/>
      <c r="L340" s="154"/>
      <c r="M340" s="154"/>
      <c r="N340" s="154"/>
      <c r="O340" s="154"/>
    </row>
    <row r="341" spans="1:15" ht="15" customHeight="1" x14ac:dyDescent="0.25">
      <c r="A341" s="161" t="s">
        <v>27</v>
      </c>
      <c r="B341" s="167" t="s">
        <v>791</v>
      </c>
      <c r="C341" s="168"/>
      <c r="D341" s="165"/>
      <c r="E341" s="165"/>
      <c r="F341" s="165"/>
      <c r="G341" s="109">
        <f t="shared" si="10"/>
        <v>0</v>
      </c>
      <c r="H341" s="113" t="str">
        <f t="shared" si="11"/>
        <v/>
      </c>
      <c r="I341" s="110"/>
      <c r="J341" s="154"/>
      <c r="K341" s="154"/>
      <c r="L341" s="154"/>
      <c r="M341" s="154"/>
      <c r="N341" s="154"/>
      <c r="O341" s="154"/>
    </row>
    <row r="342" spans="1:15" ht="15" customHeight="1" x14ac:dyDescent="0.25">
      <c r="A342" s="161" t="s">
        <v>27</v>
      </c>
      <c r="B342" s="163" t="s">
        <v>792</v>
      </c>
      <c r="C342" s="169"/>
      <c r="D342" s="166"/>
      <c r="E342" s="166"/>
      <c r="F342" s="166"/>
      <c r="G342" s="95">
        <f t="shared" si="10"/>
        <v>0</v>
      </c>
      <c r="H342" s="102" t="str">
        <f t="shared" si="11"/>
        <v/>
      </c>
      <c r="I342" s="90"/>
      <c r="J342" s="154"/>
      <c r="K342" s="154"/>
      <c r="L342" s="154"/>
      <c r="M342" s="154"/>
      <c r="N342" s="154"/>
      <c r="O342" s="154"/>
    </row>
    <row r="343" spans="1:15" ht="15" customHeight="1" x14ac:dyDescent="0.25">
      <c r="A343" s="161" t="s">
        <v>27</v>
      </c>
      <c r="B343" s="167" t="s">
        <v>793</v>
      </c>
      <c r="C343" s="168"/>
      <c r="D343" s="165"/>
      <c r="E343" s="165"/>
      <c r="F343" s="165"/>
      <c r="G343" s="109">
        <f t="shared" si="10"/>
        <v>0</v>
      </c>
      <c r="H343" s="113" t="str">
        <f t="shared" si="11"/>
        <v/>
      </c>
      <c r="I343" s="110"/>
      <c r="J343" s="154"/>
      <c r="K343" s="154"/>
      <c r="L343" s="154"/>
      <c r="M343" s="154"/>
      <c r="N343" s="154"/>
      <c r="O343" s="154"/>
    </row>
    <row r="344" spans="1:15" ht="15" customHeight="1" x14ac:dyDescent="0.25">
      <c r="A344" s="161" t="s">
        <v>27</v>
      </c>
      <c r="B344" s="163" t="s">
        <v>794</v>
      </c>
      <c r="C344" s="169"/>
      <c r="D344" s="166"/>
      <c r="E344" s="166"/>
      <c r="F344" s="166"/>
      <c r="G344" s="95">
        <f t="shared" si="10"/>
        <v>0</v>
      </c>
      <c r="H344" s="102" t="str">
        <f t="shared" si="11"/>
        <v/>
      </c>
      <c r="I344" s="90"/>
      <c r="J344" s="154"/>
      <c r="K344" s="154"/>
      <c r="L344" s="154"/>
      <c r="M344" s="154"/>
      <c r="N344" s="154"/>
      <c r="O344" s="154"/>
    </row>
    <row r="345" spans="1:15" ht="15" customHeight="1" x14ac:dyDescent="0.25">
      <c r="A345" s="161" t="s">
        <v>27</v>
      </c>
      <c r="B345" s="167" t="s">
        <v>795</v>
      </c>
      <c r="C345" s="168">
        <v>199447.94242873561</v>
      </c>
      <c r="D345" s="165"/>
      <c r="E345" s="165"/>
      <c r="F345" s="165"/>
      <c r="G345" s="109">
        <f t="shared" si="10"/>
        <v>199447.94242873561</v>
      </c>
      <c r="H345" s="113" t="str">
        <f t="shared" si="11"/>
        <v/>
      </c>
      <c r="I345" s="110"/>
      <c r="J345" s="154"/>
      <c r="K345" s="154"/>
      <c r="L345" s="154"/>
      <c r="M345" s="154"/>
      <c r="N345" s="154"/>
      <c r="O345" s="154"/>
    </row>
    <row r="346" spans="1:15" ht="15" customHeight="1" x14ac:dyDescent="0.25">
      <c r="A346" s="161" t="s">
        <v>27</v>
      </c>
      <c r="B346" s="163" t="s">
        <v>796</v>
      </c>
      <c r="C346" s="169"/>
      <c r="D346" s="166"/>
      <c r="E346" s="166"/>
      <c r="F346" s="166"/>
      <c r="G346" s="95">
        <f t="shared" si="10"/>
        <v>0</v>
      </c>
      <c r="H346" s="102" t="str">
        <f t="shared" si="11"/>
        <v/>
      </c>
      <c r="I346" s="90"/>
      <c r="J346" s="154"/>
      <c r="K346" s="154"/>
      <c r="L346" s="154"/>
      <c r="M346" s="154"/>
      <c r="N346" s="154"/>
      <c r="O346" s="154"/>
    </row>
    <row r="347" spans="1:15" ht="15" customHeight="1" x14ac:dyDescent="0.25">
      <c r="A347" s="161" t="s">
        <v>27</v>
      </c>
      <c r="B347" s="167" t="s">
        <v>797</v>
      </c>
      <c r="C347" s="168"/>
      <c r="D347" s="165"/>
      <c r="E347" s="165"/>
      <c r="F347" s="165"/>
      <c r="G347" s="109">
        <f t="shared" si="10"/>
        <v>0</v>
      </c>
      <c r="H347" s="113" t="str">
        <f t="shared" si="11"/>
        <v/>
      </c>
      <c r="I347" s="110"/>
      <c r="J347" s="154"/>
      <c r="K347" s="154"/>
      <c r="L347" s="154"/>
      <c r="M347" s="154"/>
      <c r="N347" s="154"/>
      <c r="O347" s="154"/>
    </row>
    <row r="348" spans="1:15" ht="15" customHeight="1" x14ac:dyDescent="0.25">
      <c r="A348" s="161" t="s">
        <v>27</v>
      </c>
      <c r="B348" s="170" t="s">
        <v>186</v>
      </c>
      <c r="C348" s="171"/>
      <c r="D348" s="121">
        <v>0</v>
      </c>
      <c r="E348" s="121">
        <v>0</v>
      </c>
      <c r="F348" s="121"/>
      <c r="G348" s="95">
        <f t="shared" si="10"/>
        <v>0</v>
      </c>
      <c r="H348" s="102" t="str">
        <f t="shared" si="11"/>
        <v/>
      </c>
      <c r="I348" s="111"/>
      <c r="J348" s="154"/>
      <c r="K348" s="154"/>
      <c r="L348" s="154"/>
      <c r="M348" s="154"/>
      <c r="N348" s="154"/>
      <c r="O348" s="154"/>
    </row>
    <row r="349" spans="1:15" ht="15" customHeight="1" x14ac:dyDescent="0.25">
      <c r="A349" s="161" t="s">
        <v>27</v>
      </c>
      <c r="B349" s="183" t="s">
        <v>8</v>
      </c>
      <c r="C349" s="184">
        <f>SUMIFS((C7:C348),(A7:A348),A349)</f>
        <v>199447.94242873561</v>
      </c>
      <c r="D349" s="184">
        <f>SUMIFS((D7:D348),(A7:A348),A349)</f>
        <v>192475.56798625999</v>
      </c>
      <c r="E349" s="184">
        <f>SUMIFS((E7:E348),(A7:A348),A349)</f>
        <v>342104.78915579943</v>
      </c>
      <c r="F349" s="184">
        <f>SUMIFS((F7:F348),(A7:A348),A349)</f>
        <v>321101.68517357006</v>
      </c>
      <c r="G349" s="116">
        <f t="shared" si="10"/>
        <v>6972.3744424756151</v>
      </c>
      <c r="H349" s="117" t="str">
        <f t="shared" si="11"/>
        <v>3,6%</v>
      </c>
      <c r="I349" s="185"/>
      <c r="J349" s="154"/>
      <c r="K349" s="154"/>
      <c r="L349" s="154"/>
      <c r="M349" s="154"/>
      <c r="N349" s="154"/>
      <c r="O349" s="154"/>
    </row>
    <row r="350" spans="1:15" ht="15" customHeight="1" x14ac:dyDescent="0.25">
      <c r="A350" s="48" t="s">
        <v>28</v>
      </c>
      <c r="B350" s="170"/>
      <c r="C350" s="121"/>
      <c r="D350" s="121"/>
      <c r="E350" s="121"/>
      <c r="F350" s="121">
        <v>0</v>
      </c>
      <c r="G350" s="95">
        <f t="shared" si="10"/>
        <v>0</v>
      </c>
      <c r="H350" s="102" t="str">
        <f t="shared" si="11"/>
        <v/>
      </c>
      <c r="I350" s="111"/>
    </row>
    <row r="351" spans="1:15" ht="15" customHeight="1" x14ac:dyDescent="0.25">
      <c r="A351" s="161" t="s">
        <v>28</v>
      </c>
      <c r="B351" s="167" t="s">
        <v>49</v>
      </c>
      <c r="C351" s="168"/>
      <c r="D351" s="165"/>
      <c r="E351" s="165"/>
      <c r="F351" s="165"/>
      <c r="G351" s="109">
        <f t="shared" si="10"/>
        <v>0</v>
      </c>
      <c r="H351" s="113" t="str">
        <f t="shared" si="11"/>
        <v/>
      </c>
      <c r="I351" s="110"/>
      <c r="J351" s="154"/>
      <c r="K351" s="154"/>
      <c r="L351" s="154"/>
      <c r="M351" s="154"/>
      <c r="N351" s="154"/>
      <c r="O351" s="154"/>
    </row>
    <row r="352" spans="1:15" ht="15" customHeight="1" x14ac:dyDescent="0.25">
      <c r="A352" s="161" t="s">
        <v>28</v>
      </c>
      <c r="B352" s="163" t="s">
        <v>759</v>
      </c>
      <c r="C352" s="169">
        <v>305303.15095000004</v>
      </c>
      <c r="D352" s="166">
        <v>300476.11069000006</v>
      </c>
      <c r="E352" s="166">
        <v>307432.93911000004</v>
      </c>
      <c r="F352" s="166">
        <v>305124.82878999994</v>
      </c>
      <c r="G352" s="95">
        <f t="shared" si="10"/>
        <v>4827.0402599999798</v>
      </c>
      <c r="H352" s="102" t="str">
        <f t="shared" si="11"/>
        <v>1,6%</v>
      </c>
      <c r="I352" s="90"/>
      <c r="J352" s="154"/>
      <c r="K352" s="154"/>
      <c r="L352" s="154"/>
      <c r="M352" s="154"/>
      <c r="N352" s="154"/>
      <c r="O352" s="154"/>
    </row>
    <row r="353" spans="1:15" ht="15" customHeight="1" x14ac:dyDescent="0.25">
      <c r="A353" s="161" t="s">
        <v>28</v>
      </c>
      <c r="B353" s="173" t="s">
        <v>760</v>
      </c>
      <c r="C353" s="174"/>
      <c r="D353" s="122"/>
      <c r="E353" s="122"/>
      <c r="F353" s="122"/>
      <c r="G353" s="109">
        <f t="shared" si="10"/>
        <v>0</v>
      </c>
      <c r="H353" s="113" t="str">
        <f t="shared" si="11"/>
        <v/>
      </c>
      <c r="I353" s="115"/>
      <c r="J353" s="154"/>
      <c r="K353" s="154"/>
      <c r="L353" s="154"/>
      <c r="M353" s="154"/>
      <c r="N353" s="154"/>
      <c r="O353" s="154"/>
    </row>
    <row r="354" spans="1:15" ht="15" customHeight="1" x14ac:dyDescent="0.25">
      <c r="A354" s="161" t="s">
        <v>28</v>
      </c>
      <c r="B354" s="163" t="s">
        <v>761</v>
      </c>
      <c r="C354" s="169"/>
      <c r="D354" s="166"/>
      <c r="E354" s="166"/>
      <c r="F354" s="166"/>
      <c r="G354" s="95">
        <f t="shared" si="10"/>
        <v>0</v>
      </c>
      <c r="H354" s="102" t="str">
        <f t="shared" si="11"/>
        <v/>
      </c>
      <c r="I354" s="90"/>
      <c r="J354" s="154"/>
      <c r="K354" s="154"/>
      <c r="L354" s="154"/>
      <c r="M354" s="154"/>
      <c r="N354" s="154"/>
      <c r="O354" s="154"/>
    </row>
    <row r="355" spans="1:15" ht="15" customHeight="1" x14ac:dyDescent="0.25">
      <c r="A355" s="161" t="s">
        <v>28</v>
      </c>
      <c r="B355" s="167" t="s">
        <v>762</v>
      </c>
      <c r="C355" s="168"/>
      <c r="D355" s="165"/>
      <c r="E355" s="165"/>
      <c r="F355" s="165"/>
      <c r="G355" s="109">
        <f t="shared" si="10"/>
        <v>0</v>
      </c>
      <c r="H355" s="113" t="str">
        <f t="shared" si="11"/>
        <v/>
      </c>
      <c r="I355" s="110"/>
      <c r="J355" s="154"/>
      <c r="K355" s="154"/>
      <c r="L355" s="154"/>
      <c r="M355" s="154"/>
      <c r="N355" s="154"/>
      <c r="O355" s="154"/>
    </row>
    <row r="356" spans="1:15" ht="15" customHeight="1" x14ac:dyDescent="0.25">
      <c r="A356" s="161" t="s">
        <v>28</v>
      </c>
      <c r="B356" s="163" t="s">
        <v>763</v>
      </c>
      <c r="C356" s="169"/>
      <c r="D356" s="166"/>
      <c r="E356" s="166"/>
      <c r="F356" s="166"/>
      <c r="G356" s="95">
        <f t="shared" si="10"/>
        <v>0</v>
      </c>
      <c r="H356" s="102" t="str">
        <f t="shared" si="11"/>
        <v/>
      </c>
      <c r="I356" s="90"/>
      <c r="J356" s="154"/>
      <c r="K356" s="154"/>
      <c r="L356" s="154"/>
      <c r="M356" s="154"/>
      <c r="N356" s="154"/>
      <c r="O356" s="154"/>
    </row>
    <row r="357" spans="1:15" ht="15" customHeight="1" x14ac:dyDescent="0.25">
      <c r="A357" s="161" t="s">
        <v>28</v>
      </c>
      <c r="B357" s="173" t="s">
        <v>764</v>
      </c>
      <c r="C357" s="174"/>
      <c r="D357" s="122"/>
      <c r="E357" s="122"/>
      <c r="F357" s="122"/>
      <c r="G357" s="109">
        <f t="shared" si="10"/>
        <v>0</v>
      </c>
      <c r="H357" s="113" t="str">
        <f t="shared" si="11"/>
        <v/>
      </c>
      <c r="I357" s="115"/>
      <c r="J357" s="154"/>
      <c r="K357" s="154"/>
      <c r="L357" s="154"/>
      <c r="M357" s="154"/>
      <c r="N357" s="154"/>
      <c r="O357" s="154"/>
    </row>
    <row r="358" spans="1:15" ht="15" customHeight="1" x14ac:dyDescent="0.25">
      <c r="A358" s="161" t="s">
        <v>28</v>
      </c>
      <c r="B358" s="170" t="s">
        <v>765</v>
      </c>
      <c r="C358" s="171"/>
      <c r="D358" s="121"/>
      <c r="E358" s="121"/>
      <c r="F358" s="121"/>
      <c r="G358" s="95">
        <f t="shared" si="10"/>
        <v>0</v>
      </c>
      <c r="H358" s="102" t="str">
        <f t="shared" si="11"/>
        <v/>
      </c>
      <c r="I358" s="111"/>
      <c r="J358" s="154"/>
      <c r="K358" s="154"/>
      <c r="L358" s="154"/>
      <c r="M358" s="154"/>
      <c r="N358" s="154"/>
      <c r="O358" s="154"/>
    </row>
    <row r="359" spans="1:15" ht="15" customHeight="1" x14ac:dyDescent="0.25">
      <c r="A359" s="161" t="s">
        <v>28</v>
      </c>
      <c r="B359" s="173" t="s">
        <v>766</v>
      </c>
      <c r="C359" s="174"/>
      <c r="D359" s="122"/>
      <c r="E359" s="122"/>
      <c r="F359" s="122"/>
      <c r="G359" s="109">
        <f t="shared" si="10"/>
        <v>0</v>
      </c>
      <c r="H359" s="113" t="str">
        <f t="shared" si="11"/>
        <v/>
      </c>
      <c r="I359" s="115"/>
      <c r="J359" s="154"/>
      <c r="K359" s="154"/>
      <c r="L359" s="154"/>
      <c r="M359" s="154"/>
      <c r="N359" s="154"/>
      <c r="O359" s="154"/>
    </row>
    <row r="360" spans="1:15" ht="15" customHeight="1" x14ac:dyDescent="0.25">
      <c r="A360" s="161" t="s">
        <v>28</v>
      </c>
      <c r="B360" s="163" t="s">
        <v>767</v>
      </c>
      <c r="C360" s="169"/>
      <c r="D360" s="166"/>
      <c r="E360" s="166"/>
      <c r="F360" s="166"/>
      <c r="G360" s="95">
        <f t="shared" si="10"/>
        <v>0</v>
      </c>
      <c r="H360" s="102" t="str">
        <f t="shared" si="11"/>
        <v/>
      </c>
      <c r="I360" s="90"/>
      <c r="J360" s="154"/>
      <c r="K360" s="154"/>
      <c r="L360" s="154"/>
      <c r="M360" s="154"/>
      <c r="N360" s="154"/>
      <c r="O360" s="154"/>
    </row>
    <row r="361" spans="1:15" ht="15" customHeight="1" x14ac:dyDescent="0.25">
      <c r="A361" s="161" t="s">
        <v>28</v>
      </c>
      <c r="B361" s="167" t="s">
        <v>768</v>
      </c>
      <c r="C361" s="168">
        <v>309683.01980860543</v>
      </c>
      <c r="D361" s="165">
        <v>295828.84330481704</v>
      </c>
      <c r="E361" s="165">
        <v>372253.19388828933</v>
      </c>
      <c r="F361" s="165">
        <v>258796.97068459232</v>
      </c>
      <c r="G361" s="109">
        <f t="shared" si="10"/>
        <v>13854.176503788389</v>
      </c>
      <c r="H361" s="113" t="str">
        <f t="shared" si="11"/>
        <v>4,7%</v>
      </c>
      <c r="I361" s="110"/>
      <c r="J361" s="154"/>
      <c r="K361" s="154"/>
      <c r="L361" s="154"/>
      <c r="M361" s="154"/>
      <c r="N361" s="154"/>
      <c r="O361" s="154"/>
    </row>
    <row r="362" spans="1:15" ht="15" customHeight="1" x14ac:dyDescent="0.25">
      <c r="A362" s="161" t="s">
        <v>28</v>
      </c>
      <c r="B362" s="170" t="s">
        <v>769</v>
      </c>
      <c r="C362" s="171"/>
      <c r="D362" s="121"/>
      <c r="E362" s="121"/>
      <c r="F362" s="121"/>
      <c r="G362" s="95">
        <f t="shared" si="10"/>
        <v>0</v>
      </c>
      <c r="H362" s="102" t="str">
        <f t="shared" si="11"/>
        <v/>
      </c>
      <c r="I362" s="111"/>
      <c r="J362" s="154"/>
      <c r="K362" s="154"/>
      <c r="L362" s="154"/>
      <c r="M362" s="154"/>
      <c r="N362" s="154"/>
      <c r="O362" s="154"/>
    </row>
    <row r="363" spans="1:15" ht="15" customHeight="1" x14ac:dyDescent="0.25">
      <c r="A363" s="161" t="s">
        <v>28</v>
      </c>
      <c r="B363" s="167" t="s">
        <v>770</v>
      </c>
      <c r="C363" s="168"/>
      <c r="D363" s="165"/>
      <c r="E363" s="165"/>
      <c r="F363" s="165"/>
      <c r="G363" s="109">
        <f t="shared" si="10"/>
        <v>0</v>
      </c>
      <c r="H363" s="113" t="str">
        <f t="shared" si="11"/>
        <v/>
      </c>
      <c r="I363" s="110"/>
      <c r="J363" s="154"/>
      <c r="K363" s="154"/>
      <c r="L363" s="154"/>
      <c r="M363" s="154"/>
      <c r="N363" s="154"/>
      <c r="O363" s="154"/>
    </row>
    <row r="364" spans="1:15" ht="15" customHeight="1" x14ac:dyDescent="0.25">
      <c r="A364" s="161" t="s">
        <v>28</v>
      </c>
      <c r="B364" s="170" t="s">
        <v>771</v>
      </c>
      <c r="C364" s="171">
        <v>312861.51611999999</v>
      </c>
      <c r="D364" s="121">
        <v>361539.72863999999</v>
      </c>
      <c r="E364" s="121">
        <v>380693.12836999999</v>
      </c>
      <c r="F364" s="121">
        <v>391045.21833</v>
      </c>
      <c r="G364" s="95">
        <f t="shared" si="10"/>
        <v>-48678.212520000001</v>
      </c>
      <c r="H364" s="102" t="str">
        <f t="shared" si="11"/>
        <v>-13,5%▼</v>
      </c>
      <c r="I364" s="111"/>
      <c r="J364" s="154"/>
      <c r="K364" s="154"/>
      <c r="L364" s="154"/>
      <c r="M364" s="154"/>
      <c r="N364" s="154"/>
      <c r="O364" s="154"/>
    </row>
    <row r="365" spans="1:15" ht="15" customHeight="1" x14ac:dyDescent="0.25">
      <c r="A365" s="161" t="s">
        <v>28</v>
      </c>
      <c r="B365" s="167" t="s">
        <v>772</v>
      </c>
      <c r="C365" s="168"/>
      <c r="D365" s="165"/>
      <c r="E365" s="165"/>
      <c r="F365" s="165"/>
      <c r="G365" s="109">
        <f t="shared" si="10"/>
        <v>0</v>
      </c>
      <c r="H365" s="113" t="str">
        <f t="shared" si="11"/>
        <v/>
      </c>
      <c r="I365" s="110"/>
      <c r="J365" s="154"/>
      <c r="K365" s="154"/>
      <c r="L365" s="154"/>
      <c r="M365" s="154"/>
      <c r="N365" s="154"/>
      <c r="O365" s="154"/>
    </row>
    <row r="366" spans="1:15" ht="15" customHeight="1" x14ac:dyDescent="0.25">
      <c r="A366" s="161" t="s">
        <v>28</v>
      </c>
      <c r="B366" s="170" t="s">
        <v>773</v>
      </c>
      <c r="C366" s="171">
        <v>-77752.930999999997</v>
      </c>
      <c r="D366" s="121">
        <v>-115402.81434</v>
      </c>
      <c r="E366" s="121">
        <v>-133845.11206000001</v>
      </c>
      <c r="F366" s="121">
        <v>-135626.57491</v>
      </c>
      <c r="G366" s="95">
        <f t="shared" si="10"/>
        <v>37649.88334</v>
      </c>
      <c r="H366" s="102" t="str">
        <f t="shared" si="11"/>
        <v>-32,6%▼</v>
      </c>
      <c r="I366" s="111"/>
      <c r="J366" s="154"/>
      <c r="K366" s="154"/>
      <c r="L366" s="154"/>
      <c r="M366" s="154"/>
      <c r="N366" s="154"/>
      <c r="O366" s="154"/>
    </row>
    <row r="367" spans="1:15" ht="15" customHeight="1" x14ac:dyDescent="0.25">
      <c r="A367" s="161" t="s">
        <v>28</v>
      </c>
      <c r="B367" s="167" t="s">
        <v>774</v>
      </c>
      <c r="C367" s="168">
        <v>-9417.571539999999</v>
      </c>
      <c r="D367" s="165">
        <v>79698.410999999993</v>
      </c>
      <c r="E367" s="165">
        <v>74629.578999999998</v>
      </c>
      <c r="F367" s="165">
        <v>52748.436000000002</v>
      </c>
      <c r="G367" s="109">
        <f t="shared" si="10"/>
        <v>-89115.982539999997</v>
      </c>
      <c r="H367" s="113" t="str">
        <f t="shared" si="11"/>
        <v>-111,8%▼</v>
      </c>
      <c r="I367" s="110"/>
      <c r="J367" s="154"/>
      <c r="K367" s="154"/>
      <c r="L367" s="154"/>
      <c r="M367" s="154"/>
      <c r="N367" s="154"/>
      <c r="O367" s="154"/>
    </row>
    <row r="368" spans="1:15" ht="15" customHeight="1" x14ac:dyDescent="0.25">
      <c r="A368" s="161" t="s">
        <v>28</v>
      </c>
      <c r="B368" s="170" t="s">
        <v>775</v>
      </c>
      <c r="C368" s="171">
        <v>603910.36954999994</v>
      </c>
      <c r="D368" s="121">
        <v>607500.82025999983</v>
      </c>
      <c r="E368" s="121">
        <v>567736.65552999987</v>
      </c>
      <c r="F368" s="121">
        <v>567114.54691000003</v>
      </c>
      <c r="G368" s="95">
        <f t="shared" si="10"/>
        <v>-3590.4507099998882</v>
      </c>
      <c r="H368" s="255" t="str">
        <f t="shared" si="11"/>
        <v>-0,6%</v>
      </c>
      <c r="I368" s="111"/>
      <c r="J368" s="154"/>
      <c r="K368" s="154"/>
      <c r="L368" s="154"/>
      <c r="M368" s="154"/>
      <c r="N368" s="154"/>
      <c r="O368" s="154"/>
    </row>
    <row r="369" spans="1:15" ht="15" customHeight="1" x14ac:dyDescent="0.25">
      <c r="A369" s="161" t="s">
        <v>28</v>
      </c>
      <c r="B369" s="167" t="s">
        <v>776</v>
      </c>
      <c r="C369" s="168">
        <v>117102.45069</v>
      </c>
      <c r="D369" s="165">
        <v>126406.08116000002</v>
      </c>
      <c r="E369" s="165">
        <v>127115.34829000001</v>
      </c>
      <c r="F369" s="165">
        <v>135320.96783000001</v>
      </c>
      <c r="G369" s="109">
        <f t="shared" si="10"/>
        <v>-9303.6304700000182</v>
      </c>
      <c r="H369" s="113" t="str">
        <f t="shared" si="11"/>
        <v>-7,4%▼</v>
      </c>
      <c r="I369" s="110"/>
      <c r="J369" s="154"/>
      <c r="K369" s="154"/>
      <c r="L369" s="154"/>
      <c r="M369" s="154"/>
      <c r="N369" s="154"/>
      <c r="O369" s="154"/>
    </row>
    <row r="370" spans="1:15" ht="15" customHeight="1" x14ac:dyDescent="0.25">
      <c r="A370" s="161" t="s">
        <v>28</v>
      </c>
      <c r="B370" s="170" t="s">
        <v>777</v>
      </c>
      <c r="C370" s="171">
        <v>346320.23909510125</v>
      </c>
      <c r="D370" s="121">
        <v>297066.67295814981</v>
      </c>
      <c r="E370" s="121">
        <v>292298.00944685808</v>
      </c>
      <c r="F370" s="121">
        <v>312645.26538782829</v>
      </c>
      <c r="G370" s="95">
        <f t="shared" si="10"/>
        <v>49253.566136951442</v>
      </c>
      <c r="H370" s="102" t="str">
        <f t="shared" si="11"/>
        <v>16,6%▲</v>
      </c>
      <c r="I370" s="111"/>
      <c r="J370" s="154"/>
      <c r="K370" s="154"/>
      <c r="L370" s="154"/>
      <c r="M370" s="154"/>
      <c r="N370" s="154"/>
      <c r="O370" s="154"/>
    </row>
    <row r="371" spans="1:15" ht="15" customHeight="1" x14ac:dyDescent="0.25">
      <c r="A371" s="161" t="s">
        <v>28</v>
      </c>
      <c r="B371" s="167" t="s">
        <v>778</v>
      </c>
      <c r="C371" s="168"/>
      <c r="D371" s="165">
        <v>39642.79305</v>
      </c>
      <c r="E371" s="165">
        <v>28929.641460000003</v>
      </c>
      <c r="F371" s="165">
        <v>28357.453519999999</v>
      </c>
      <c r="G371" s="109">
        <f t="shared" si="10"/>
        <v>-39642.79305</v>
      </c>
      <c r="H371" s="113" t="str">
        <f t="shared" si="11"/>
        <v>-100,0%▼</v>
      </c>
      <c r="I371" s="110"/>
      <c r="J371" s="154"/>
      <c r="K371" s="154"/>
      <c r="L371" s="154"/>
      <c r="M371" s="154"/>
      <c r="N371" s="154"/>
      <c r="O371" s="154"/>
    </row>
    <row r="372" spans="1:15" ht="15" customHeight="1" x14ac:dyDescent="0.25">
      <c r="A372" s="161" t="s">
        <v>28</v>
      </c>
      <c r="B372" s="163" t="s">
        <v>779</v>
      </c>
      <c r="C372" s="169"/>
      <c r="D372" s="166"/>
      <c r="E372" s="166"/>
      <c r="F372" s="166"/>
      <c r="G372" s="95">
        <f t="shared" si="10"/>
        <v>0</v>
      </c>
      <c r="H372" s="102" t="str">
        <f t="shared" si="11"/>
        <v/>
      </c>
      <c r="I372" s="90"/>
      <c r="J372" s="154"/>
      <c r="K372" s="154"/>
      <c r="L372" s="154"/>
      <c r="M372" s="154"/>
      <c r="N372" s="154"/>
      <c r="O372" s="154"/>
    </row>
    <row r="373" spans="1:15" ht="15" customHeight="1" x14ac:dyDescent="0.25">
      <c r="A373" s="161" t="s">
        <v>28</v>
      </c>
      <c r="B373" s="173" t="s">
        <v>780</v>
      </c>
      <c r="C373" s="174"/>
      <c r="D373" s="122"/>
      <c r="E373" s="122"/>
      <c r="F373" s="122"/>
      <c r="G373" s="109">
        <f t="shared" si="10"/>
        <v>0</v>
      </c>
      <c r="H373" s="113" t="str">
        <f t="shared" si="11"/>
        <v/>
      </c>
      <c r="I373" s="115"/>
      <c r="J373" s="154"/>
      <c r="K373" s="154"/>
      <c r="L373" s="154"/>
      <c r="M373" s="154"/>
      <c r="N373" s="154"/>
      <c r="O373" s="154"/>
    </row>
    <row r="374" spans="1:15" ht="15" customHeight="1" x14ac:dyDescent="0.25">
      <c r="A374" s="161" t="s">
        <v>28</v>
      </c>
      <c r="B374" s="163" t="s">
        <v>781</v>
      </c>
      <c r="C374" s="169">
        <v>-156.78748000000002</v>
      </c>
      <c r="D374" s="166">
        <v>-262.19396999999998</v>
      </c>
      <c r="E374" s="166">
        <v>-12299.56625</v>
      </c>
      <c r="F374" s="166">
        <v>-1287.2900251500002</v>
      </c>
      <c r="G374" s="95">
        <f t="shared" si="10"/>
        <v>105.40648999999996</v>
      </c>
      <c r="H374" s="102" t="str">
        <f t="shared" si="11"/>
        <v>-40,2%▼</v>
      </c>
      <c r="I374" s="90"/>
      <c r="J374" s="154"/>
      <c r="K374" s="154"/>
      <c r="L374" s="154"/>
      <c r="M374" s="154"/>
      <c r="N374" s="154"/>
      <c r="O374" s="154"/>
    </row>
    <row r="375" spans="1:15" ht="15" customHeight="1" x14ac:dyDescent="0.25">
      <c r="A375" s="161" t="s">
        <v>28</v>
      </c>
      <c r="B375" s="173" t="s">
        <v>782</v>
      </c>
      <c r="C375" s="174"/>
      <c r="D375" s="122"/>
      <c r="E375" s="122"/>
      <c r="F375" s="122"/>
      <c r="G375" s="109">
        <f t="shared" si="10"/>
        <v>0</v>
      </c>
      <c r="H375" s="113" t="str">
        <f t="shared" si="11"/>
        <v/>
      </c>
      <c r="I375" s="115"/>
      <c r="J375" s="154"/>
      <c r="K375" s="154"/>
      <c r="L375" s="154"/>
      <c r="M375" s="154"/>
      <c r="N375" s="154"/>
      <c r="O375" s="154"/>
    </row>
    <row r="376" spans="1:15" ht="15" customHeight="1" x14ac:dyDescent="0.25">
      <c r="A376" s="161" t="s">
        <v>28</v>
      </c>
      <c r="B376" s="163" t="s">
        <v>783</v>
      </c>
      <c r="C376" s="169">
        <v>212051.97545</v>
      </c>
      <c r="D376" s="166">
        <v>193558.09550000002</v>
      </c>
      <c r="E376" s="166">
        <v>177091.98061999999</v>
      </c>
      <c r="F376" s="166">
        <v>175874.05398</v>
      </c>
      <c r="G376" s="95">
        <f t="shared" si="10"/>
        <v>18493.879949999973</v>
      </c>
      <c r="H376" s="102" t="str">
        <f t="shared" si="11"/>
        <v>9,6%▲</v>
      </c>
      <c r="I376" s="90"/>
      <c r="J376" s="154"/>
      <c r="K376" s="154"/>
      <c r="L376" s="154"/>
      <c r="M376" s="154"/>
      <c r="N376" s="154"/>
      <c r="O376" s="154"/>
    </row>
    <row r="377" spans="1:15" ht="15" customHeight="1" x14ac:dyDescent="0.25">
      <c r="A377" s="161" t="s">
        <v>28</v>
      </c>
      <c r="B377" s="167" t="s">
        <v>784</v>
      </c>
      <c r="C377" s="168">
        <v>1023429.7269199999</v>
      </c>
      <c r="D377" s="165">
        <v>936752.39607999998</v>
      </c>
      <c r="E377" s="165">
        <v>776988.86672000005</v>
      </c>
      <c r="F377" s="165">
        <v>717004.98540000001</v>
      </c>
      <c r="G377" s="109">
        <f t="shared" si="10"/>
        <v>86677.330839999951</v>
      </c>
      <c r="H377" s="113" t="str">
        <f t="shared" si="11"/>
        <v>9,3%▲</v>
      </c>
      <c r="I377" s="110"/>
      <c r="J377" s="154"/>
      <c r="K377" s="154"/>
      <c r="L377" s="154"/>
      <c r="M377" s="154"/>
      <c r="N377" s="154"/>
      <c r="O377" s="154"/>
    </row>
    <row r="378" spans="1:15" ht="15" customHeight="1" x14ac:dyDescent="0.25">
      <c r="A378" s="161" t="s">
        <v>28</v>
      </c>
      <c r="B378" s="163" t="s">
        <v>785</v>
      </c>
      <c r="C378" s="169">
        <v>187240.08510053856</v>
      </c>
      <c r="D378" s="166">
        <v>187914.31064696983</v>
      </c>
      <c r="E378" s="166">
        <v>140126.17271183486</v>
      </c>
      <c r="F378" s="166">
        <v>113671.88652283163</v>
      </c>
      <c r="G378" s="95">
        <f t="shared" si="10"/>
        <v>-674.22554643126205</v>
      </c>
      <c r="H378" s="102" t="str">
        <f t="shared" si="11"/>
        <v>-0,4%</v>
      </c>
      <c r="I378" s="90"/>
      <c r="J378" s="154"/>
      <c r="K378" s="154"/>
      <c r="L378" s="154"/>
      <c r="M378" s="154"/>
      <c r="N378" s="154"/>
      <c r="O378" s="154"/>
    </row>
    <row r="379" spans="1:15" ht="15" customHeight="1" x14ac:dyDescent="0.25">
      <c r="A379" s="161" t="s">
        <v>28</v>
      </c>
      <c r="B379" s="173" t="s">
        <v>786</v>
      </c>
      <c r="C379" s="174"/>
      <c r="D379" s="122"/>
      <c r="E379" s="122"/>
      <c r="F379" s="122"/>
      <c r="G379" s="109">
        <f t="shared" si="10"/>
        <v>0</v>
      </c>
      <c r="H379" s="113" t="str">
        <f t="shared" si="11"/>
        <v/>
      </c>
      <c r="I379" s="115"/>
      <c r="J379" s="154"/>
      <c r="K379" s="154"/>
      <c r="L379" s="154"/>
      <c r="M379" s="154"/>
      <c r="N379" s="154"/>
      <c r="O379" s="154"/>
    </row>
    <row r="380" spans="1:15" ht="15" customHeight="1" x14ac:dyDescent="0.25">
      <c r="A380" s="161" t="s">
        <v>28</v>
      </c>
      <c r="B380" s="163" t="s">
        <v>787</v>
      </c>
      <c r="C380" s="169">
        <v>41151.235259999994</v>
      </c>
      <c r="D380" s="166">
        <v>3567.7399799999998</v>
      </c>
      <c r="E380" s="166">
        <v>2146.96146</v>
      </c>
      <c r="F380" s="166">
        <v>2432.2185899999999</v>
      </c>
      <c r="G380" s="95">
        <f t="shared" si="10"/>
        <v>37583.495279999996</v>
      </c>
      <c r="H380" s="102" t="str">
        <f t="shared" si="11"/>
        <v>1053,4%▲</v>
      </c>
      <c r="I380" s="90"/>
      <c r="J380" s="154"/>
      <c r="K380" s="154"/>
      <c r="L380" s="154"/>
      <c r="M380" s="154"/>
      <c r="N380" s="154"/>
      <c r="O380" s="154"/>
    </row>
    <row r="381" spans="1:15" ht="15" customHeight="1" x14ac:dyDescent="0.25">
      <c r="A381" s="161" t="s">
        <v>28</v>
      </c>
      <c r="B381" s="173" t="s">
        <v>788</v>
      </c>
      <c r="C381" s="174">
        <v>3864.6053716217421</v>
      </c>
      <c r="D381" s="122">
        <v>4426.4717183708899</v>
      </c>
      <c r="E381" s="122">
        <v>4216.2790637650596</v>
      </c>
      <c r="F381" s="122">
        <v>4574.0678931557659</v>
      </c>
      <c r="G381" s="109">
        <f t="shared" si="10"/>
        <v>-561.86634674914785</v>
      </c>
      <c r="H381" s="113" t="str">
        <f t="shared" si="11"/>
        <v>-12,7%▼</v>
      </c>
      <c r="I381" s="115"/>
      <c r="J381" s="154"/>
      <c r="K381" s="154"/>
      <c r="L381" s="154"/>
      <c r="M381" s="154"/>
      <c r="N381" s="154"/>
      <c r="O381" s="154"/>
    </row>
    <row r="382" spans="1:15" ht="15" customHeight="1" x14ac:dyDescent="0.25">
      <c r="A382" s="161" t="s">
        <v>28</v>
      </c>
      <c r="B382" s="163" t="s">
        <v>789</v>
      </c>
      <c r="C382" s="169">
        <v>3115.04484</v>
      </c>
      <c r="D382" s="166">
        <v>498.82124999999974</v>
      </c>
      <c r="E382" s="166"/>
      <c r="F382" s="166"/>
      <c r="G382" s="95">
        <f t="shared" si="10"/>
        <v>2616.2235900000005</v>
      </c>
      <c r="H382" s="102" t="str">
        <f t="shared" si="11"/>
        <v>524,5%▲</v>
      </c>
      <c r="I382" s="90"/>
      <c r="J382" s="154"/>
      <c r="K382" s="154"/>
      <c r="L382" s="154"/>
      <c r="M382" s="154"/>
      <c r="N382" s="154"/>
      <c r="O382" s="154"/>
    </row>
    <row r="383" spans="1:15" ht="15" customHeight="1" x14ac:dyDescent="0.25">
      <c r="A383" s="161" t="s">
        <v>28</v>
      </c>
      <c r="B383" s="167" t="s">
        <v>790</v>
      </c>
      <c r="C383" s="168"/>
      <c r="D383" s="165"/>
      <c r="E383" s="165"/>
      <c r="F383" s="165"/>
      <c r="G383" s="109">
        <f t="shared" si="10"/>
        <v>0</v>
      </c>
      <c r="H383" s="113" t="str">
        <f t="shared" si="11"/>
        <v/>
      </c>
      <c r="I383" s="110"/>
      <c r="J383" s="154"/>
      <c r="K383" s="154"/>
      <c r="L383" s="154"/>
      <c r="M383" s="154"/>
      <c r="N383" s="154"/>
      <c r="O383" s="154"/>
    </row>
    <row r="384" spans="1:15" ht="15" customHeight="1" x14ac:dyDescent="0.25">
      <c r="A384" s="161" t="s">
        <v>28</v>
      </c>
      <c r="B384" s="163" t="s">
        <v>791</v>
      </c>
      <c r="C384" s="169">
        <v>14763.617011285925</v>
      </c>
      <c r="D384" s="166">
        <v>14588.472057440868</v>
      </c>
      <c r="E384" s="166">
        <v>14980.647902446395</v>
      </c>
      <c r="F384" s="166">
        <v>17644.576453110614</v>
      </c>
      <c r="G384" s="95">
        <f t="shared" si="10"/>
        <v>175.1449538450579</v>
      </c>
      <c r="H384" s="102" t="str">
        <f t="shared" si="11"/>
        <v>1,2%</v>
      </c>
      <c r="I384" s="90"/>
      <c r="J384" s="154"/>
      <c r="K384" s="154"/>
      <c r="L384" s="154"/>
      <c r="M384" s="154"/>
      <c r="N384" s="154"/>
      <c r="O384" s="154"/>
    </row>
    <row r="385" spans="1:15" ht="15" customHeight="1" x14ac:dyDescent="0.25">
      <c r="A385" s="161" t="s">
        <v>28</v>
      </c>
      <c r="B385" s="167" t="s">
        <v>792</v>
      </c>
      <c r="C385" s="168"/>
      <c r="D385" s="165"/>
      <c r="E385" s="165"/>
      <c r="F385" s="165"/>
      <c r="G385" s="109">
        <f t="shared" si="10"/>
        <v>0</v>
      </c>
      <c r="H385" s="113" t="str">
        <f t="shared" si="11"/>
        <v/>
      </c>
      <c r="I385" s="110"/>
      <c r="J385" s="154"/>
      <c r="K385" s="154"/>
      <c r="L385" s="154"/>
      <c r="M385" s="154"/>
      <c r="N385" s="154"/>
      <c r="O385" s="154"/>
    </row>
    <row r="386" spans="1:15" ht="15" customHeight="1" x14ac:dyDescent="0.25">
      <c r="A386" s="161" t="s">
        <v>28</v>
      </c>
      <c r="B386" s="163" t="s">
        <v>793</v>
      </c>
      <c r="C386" s="169"/>
      <c r="D386" s="166"/>
      <c r="E386" s="166"/>
      <c r="F386" s="166"/>
      <c r="G386" s="95">
        <f t="shared" si="10"/>
        <v>0</v>
      </c>
      <c r="H386" s="102" t="str">
        <f t="shared" si="11"/>
        <v/>
      </c>
      <c r="I386" s="90"/>
      <c r="J386" s="154"/>
      <c r="K386" s="154"/>
      <c r="L386" s="154"/>
      <c r="M386" s="154"/>
      <c r="N386" s="154"/>
      <c r="O386" s="154"/>
    </row>
    <row r="387" spans="1:15" ht="15" customHeight="1" x14ac:dyDescent="0.25">
      <c r="A387" s="161" t="s">
        <v>28</v>
      </c>
      <c r="B387" s="167" t="s">
        <v>794</v>
      </c>
      <c r="C387" s="168"/>
      <c r="D387" s="165"/>
      <c r="E387" s="165"/>
      <c r="F387" s="165"/>
      <c r="G387" s="109">
        <f t="shared" si="10"/>
        <v>0</v>
      </c>
      <c r="H387" s="113" t="str">
        <f t="shared" si="11"/>
        <v/>
      </c>
      <c r="I387" s="110"/>
      <c r="J387" s="154"/>
      <c r="K387" s="154"/>
      <c r="L387" s="154"/>
      <c r="M387" s="154"/>
      <c r="N387" s="154"/>
      <c r="O387" s="154"/>
    </row>
    <row r="388" spans="1:15" ht="15" customHeight="1" x14ac:dyDescent="0.25">
      <c r="A388" s="161" t="s">
        <v>28</v>
      </c>
      <c r="B388" s="163" t="s">
        <v>795</v>
      </c>
      <c r="C388" s="169"/>
      <c r="D388" s="166"/>
      <c r="E388" s="166"/>
      <c r="F388" s="166"/>
      <c r="G388" s="95">
        <f t="shared" si="10"/>
        <v>0</v>
      </c>
      <c r="H388" s="102" t="str">
        <f t="shared" si="11"/>
        <v/>
      </c>
      <c r="I388" s="90"/>
      <c r="J388" s="154"/>
      <c r="K388" s="154"/>
      <c r="L388" s="154"/>
      <c r="M388" s="154"/>
      <c r="N388" s="154"/>
      <c r="O388" s="154"/>
    </row>
    <row r="389" spans="1:15" ht="15" customHeight="1" x14ac:dyDescent="0.25">
      <c r="A389" s="161" t="s">
        <v>28</v>
      </c>
      <c r="B389" s="167" t="s">
        <v>796</v>
      </c>
      <c r="C389" s="168"/>
      <c r="D389" s="165"/>
      <c r="E389" s="165"/>
      <c r="F389" s="165"/>
      <c r="G389" s="109">
        <f t="shared" si="10"/>
        <v>0</v>
      </c>
      <c r="H389" s="113" t="str">
        <f t="shared" si="11"/>
        <v/>
      </c>
      <c r="I389" s="110"/>
      <c r="J389" s="154"/>
      <c r="K389" s="154"/>
      <c r="L389" s="154"/>
      <c r="M389" s="154"/>
      <c r="N389" s="154"/>
      <c r="O389" s="154"/>
    </row>
    <row r="390" spans="1:15" ht="15" customHeight="1" x14ac:dyDescent="0.25">
      <c r="A390" s="161" t="s">
        <v>28</v>
      </c>
      <c r="B390" s="163" t="s">
        <v>797</v>
      </c>
      <c r="C390" s="169"/>
      <c r="D390" s="166"/>
      <c r="E390" s="166"/>
      <c r="F390" s="166"/>
      <c r="G390" s="95">
        <f t="shared" si="10"/>
        <v>0</v>
      </c>
      <c r="H390" s="102" t="str">
        <f t="shared" si="11"/>
        <v/>
      </c>
      <c r="I390" s="90"/>
      <c r="J390" s="154"/>
      <c r="K390" s="154"/>
      <c r="L390" s="154"/>
      <c r="M390" s="154"/>
      <c r="N390" s="154"/>
      <c r="O390" s="154"/>
    </row>
    <row r="391" spans="1:15" ht="15" customHeight="1" x14ac:dyDescent="0.25">
      <c r="A391" s="161" t="s">
        <v>28</v>
      </c>
      <c r="B391" s="173" t="s">
        <v>186</v>
      </c>
      <c r="C391" s="174"/>
      <c r="D391" s="122">
        <v>0</v>
      </c>
      <c r="E391" s="122">
        <v>774.94873999999993</v>
      </c>
      <c r="F391" s="122">
        <v>997</v>
      </c>
      <c r="G391" s="109">
        <f t="shared" si="10"/>
        <v>0</v>
      </c>
      <c r="H391" s="113" t="str">
        <f t="shared" si="11"/>
        <v/>
      </c>
      <c r="I391" s="115"/>
      <c r="J391" s="154"/>
      <c r="K391" s="154"/>
      <c r="L391" s="154"/>
      <c r="M391" s="154"/>
      <c r="N391" s="154"/>
      <c r="O391" s="154"/>
    </row>
    <row r="392" spans="1:15" ht="15" customHeight="1" x14ac:dyDescent="0.25">
      <c r="A392" s="161" t="s">
        <v>28</v>
      </c>
      <c r="B392" s="183" t="s">
        <v>8</v>
      </c>
      <c r="C392" s="184">
        <f>SUMIFS((C7:C391),(A7:A391),A392)</f>
        <v>3393469.746147153</v>
      </c>
      <c r="D392" s="184">
        <f>SUMIFS((D7:D391),(A7:A391),A392)</f>
        <v>3333800.7599857482</v>
      </c>
      <c r="E392" s="184">
        <f>SUMIFS((E7:E391),(A7:A391),A392)</f>
        <v>3121269.6740031932</v>
      </c>
      <c r="F392" s="184">
        <f>SUMIFS((F7:F391),(A7:A391),A392)</f>
        <v>2946438.6113563692</v>
      </c>
      <c r="G392" s="116">
        <f t="shared" si="10"/>
        <v>59668.986161404755</v>
      </c>
      <c r="H392" s="117" t="str">
        <f t="shared" si="11"/>
        <v>1,8%</v>
      </c>
      <c r="I392" s="185"/>
      <c r="J392" s="154"/>
      <c r="K392" s="154"/>
      <c r="L392" s="154"/>
      <c r="M392" s="154"/>
      <c r="N392" s="154"/>
      <c r="O392" s="154"/>
    </row>
    <row r="393" spans="1:15" ht="15" customHeight="1" x14ac:dyDescent="0.25">
      <c r="C393" s="160"/>
      <c r="D393" s="160"/>
      <c r="E393" s="160"/>
      <c r="F393" s="160"/>
    </row>
    <row r="394" spans="1:15" ht="15" customHeight="1" x14ac:dyDescent="0.25">
      <c r="C394" s="160"/>
      <c r="D394" s="160"/>
      <c r="E394" s="160"/>
      <c r="F394" s="160"/>
    </row>
    <row r="395" spans="1:15" ht="15" customHeight="1" x14ac:dyDescent="0.25">
      <c r="C395" s="160"/>
      <c r="D395" s="160"/>
      <c r="E395" s="160"/>
      <c r="F395" s="160"/>
    </row>
    <row r="396" spans="1:15" ht="15" customHeight="1" x14ac:dyDescent="0.25">
      <c r="C396" s="160"/>
      <c r="D396" s="160"/>
      <c r="E396" s="160"/>
      <c r="F396" s="160"/>
    </row>
    <row r="397" spans="1:15" ht="15" customHeight="1" x14ac:dyDescent="0.25">
      <c r="C397" s="160"/>
      <c r="D397" s="160"/>
      <c r="E397" s="160"/>
      <c r="F397" s="160"/>
    </row>
    <row r="398" spans="1:15" ht="15" customHeight="1" x14ac:dyDescent="0.25">
      <c r="C398" s="160"/>
      <c r="D398" s="160"/>
      <c r="E398" s="160"/>
      <c r="F398" s="160"/>
    </row>
    <row r="399" spans="1:15" ht="15" customHeight="1" x14ac:dyDescent="0.25">
      <c r="C399" s="160"/>
      <c r="D399" s="160"/>
      <c r="E399" s="160"/>
      <c r="F399" s="160"/>
    </row>
    <row r="400" spans="1:15" ht="15" customHeight="1" x14ac:dyDescent="0.25">
      <c r="C400" s="160"/>
      <c r="D400" s="160"/>
      <c r="E400" s="160"/>
      <c r="F400" s="160"/>
    </row>
    <row r="401" spans="3:6" ht="15" customHeight="1" x14ac:dyDescent="0.25">
      <c r="C401" s="160"/>
      <c r="D401" s="160"/>
      <c r="E401" s="160"/>
      <c r="F401" s="160"/>
    </row>
    <row r="402" spans="3:6" ht="15" customHeight="1" x14ac:dyDescent="0.25">
      <c r="C402" s="160"/>
      <c r="D402" s="160"/>
      <c r="E402" s="160"/>
      <c r="F402" s="160"/>
    </row>
    <row r="403" spans="3:6" ht="15" customHeight="1" x14ac:dyDescent="0.25">
      <c r="C403" s="160"/>
      <c r="D403" s="160"/>
      <c r="E403" s="160"/>
      <c r="F403" s="160"/>
    </row>
    <row r="404" spans="3:6" ht="15" customHeight="1" x14ac:dyDescent="0.25">
      <c r="C404" s="160"/>
      <c r="D404" s="160"/>
      <c r="E404" s="160"/>
      <c r="F404" s="160"/>
    </row>
    <row r="405" spans="3:6" ht="15" customHeight="1" x14ac:dyDescent="0.25">
      <c r="C405" s="160"/>
      <c r="D405" s="160"/>
      <c r="E405" s="160"/>
      <c r="F405" s="160"/>
    </row>
    <row r="406" spans="3:6" ht="15" customHeight="1" x14ac:dyDescent="0.25">
      <c r="C406" s="160"/>
      <c r="D406" s="160"/>
      <c r="E406" s="160"/>
      <c r="F406" s="160"/>
    </row>
    <row r="407" spans="3:6" ht="15" customHeight="1" x14ac:dyDescent="0.25">
      <c r="C407" s="160"/>
      <c r="D407" s="160"/>
      <c r="E407" s="160"/>
      <c r="F407" s="160"/>
    </row>
    <row r="408" spans="3:6" ht="15" customHeight="1" x14ac:dyDescent="0.25">
      <c r="C408" s="160"/>
      <c r="D408" s="160"/>
      <c r="E408" s="160"/>
      <c r="F408" s="160"/>
    </row>
    <row r="409" spans="3:6" ht="15" customHeight="1" x14ac:dyDescent="0.25">
      <c r="C409" s="160"/>
      <c r="D409" s="160"/>
      <c r="E409" s="160"/>
      <c r="F409" s="160"/>
    </row>
    <row r="410" spans="3:6" ht="15" customHeight="1" x14ac:dyDescent="0.25">
      <c r="C410" s="160"/>
      <c r="D410" s="160"/>
      <c r="E410" s="160"/>
      <c r="F410" s="160"/>
    </row>
    <row r="411" spans="3:6" ht="15" customHeight="1" x14ac:dyDescent="0.25">
      <c r="C411" s="160"/>
      <c r="D411" s="160"/>
      <c r="E411" s="160"/>
      <c r="F411" s="160"/>
    </row>
    <row r="412" spans="3:6" ht="15" customHeight="1" x14ac:dyDescent="0.25">
      <c r="C412" s="160"/>
      <c r="D412" s="160"/>
      <c r="E412" s="160"/>
      <c r="F412" s="160"/>
    </row>
    <row r="413" spans="3:6" ht="15" customHeight="1" x14ac:dyDescent="0.25">
      <c r="C413" s="160"/>
      <c r="D413" s="160"/>
      <c r="E413" s="160"/>
      <c r="F413" s="160"/>
    </row>
    <row r="414" spans="3:6" ht="15" customHeight="1" x14ac:dyDescent="0.25">
      <c r="C414" s="160"/>
      <c r="D414" s="160"/>
      <c r="E414" s="160"/>
      <c r="F414" s="160"/>
    </row>
    <row r="415" spans="3:6" ht="15" customHeight="1" x14ac:dyDescent="0.25">
      <c r="C415" s="160"/>
      <c r="D415" s="160"/>
      <c r="E415" s="160"/>
      <c r="F415" s="160"/>
    </row>
    <row r="416" spans="3:6" ht="15" customHeight="1" x14ac:dyDescent="0.25">
      <c r="C416" s="160"/>
      <c r="D416" s="160"/>
      <c r="E416" s="160"/>
      <c r="F416" s="160"/>
    </row>
    <row r="417" spans="3:6" ht="15" customHeight="1" x14ac:dyDescent="0.25">
      <c r="C417" s="160"/>
      <c r="D417" s="160"/>
      <c r="E417" s="160"/>
      <c r="F417" s="160"/>
    </row>
    <row r="418" spans="3:6" ht="15" customHeight="1" x14ac:dyDescent="0.25">
      <c r="C418" s="160"/>
      <c r="D418" s="160"/>
      <c r="E418" s="160"/>
      <c r="F418" s="160"/>
    </row>
    <row r="419" spans="3:6" ht="15" customHeight="1" x14ac:dyDescent="0.25">
      <c r="C419" s="160"/>
      <c r="D419" s="160"/>
      <c r="E419" s="160"/>
      <c r="F419" s="160"/>
    </row>
    <row r="420" spans="3:6" ht="15" customHeight="1" x14ac:dyDescent="0.25">
      <c r="C420" s="160"/>
      <c r="D420" s="160"/>
      <c r="E420" s="160"/>
      <c r="F420" s="160"/>
    </row>
    <row r="421" spans="3:6" ht="15" customHeight="1" x14ac:dyDescent="0.25">
      <c r="C421" s="160"/>
      <c r="D421" s="160"/>
      <c r="E421" s="160"/>
      <c r="F421" s="160"/>
    </row>
    <row r="422" spans="3:6" ht="15" customHeight="1" x14ac:dyDescent="0.25">
      <c r="C422" s="160"/>
      <c r="D422" s="160"/>
      <c r="E422" s="160"/>
      <c r="F422" s="160"/>
    </row>
    <row r="423" spans="3:6" ht="15" customHeight="1" x14ac:dyDescent="0.25">
      <c r="C423" s="160"/>
      <c r="D423" s="160"/>
      <c r="E423" s="160"/>
      <c r="F423" s="160"/>
    </row>
    <row r="424" spans="3:6" ht="15" customHeight="1" x14ac:dyDescent="0.25">
      <c r="C424" s="160"/>
      <c r="D424" s="160"/>
      <c r="E424" s="160"/>
      <c r="F424" s="160"/>
    </row>
    <row r="425" spans="3:6" ht="15" customHeight="1" x14ac:dyDescent="0.25">
      <c r="C425" s="160"/>
      <c r="D425" s="160"/>
      <c r="E425" s="160"/>
      <c r="F425" s="160"/>
    </row>
    <row r="426" spans="3:6" ht="15" customHeight="1" x14ac:dyDescent="0.25">
      <c r="C426" s="160"/>
      <c r="D426" s="160"/>
      <c r="E426" s="160"/>
      <c r="F426" s="160"/>
    </row>
    <row r="427" spans="3:6" ht="15" customHeight="1" x14ac:dyDescent="0.25">
      <c r="C427" s="160"/>
      <c r="D427" s="160"/>
      <c r="E427" s="160"/>
      <c r="F427" s="160"/>
    </row>
    <row r="428" spans="3:6" ht="15" customHeight="1" x14ac:dyDescent="0.25">
      <c r="C428" s="160"/>
      <c r="D428" s="160"/>
      <c r="E428" s="160"/>
      <c r="F428" s="160"/>
    </row>
    <row r="429" spans="3:6" ht="15" customHeight="1" x14ac:dyDescent="0.25">
      <c r="C429" s="160"/>
      <c r="D429" s="160"/>
      <c r="E429" s="160"/>
      <c r="F429" s="160"/>
    </row>
    <row r="430" spans="3:6" ht="15" customHeight="1" x14ac:dyDescent="0.25">
      <c r="C430" s="160"/>
      <c r="D430" s="160"/>
      <c r="E430" s="160"/>
      <c r="F430" s="160"/>
    </row>
    <row r="431" spans="3:6" ht="15" customHeight="1" x14ac:dyDescent="0.25">
      <c r="C431" s="160"/>
      <c r="D431" s="160"/>
      <c r="E431" s="160"/>
      <c r="F431" s="160"/>
    </row>
    <row r="432" spans="3:6" ht="15" customHeight="1" x14ac:dyDescent="0.25">
      <c r="C432" s="160"/>
      <c r="D432" s="160"/>
      <c r="E432" s="160"/>
      <c r="F432" s="160"/>
    </row>
    <row r="433" spans="3:6" ht="15" customHeight="1" x14ac:dyDescent="0.25">
      <c r="C433" s="160"/>
      <c r="D433" s="160"/>
      <c r="E433" s="160"/>
      <c r="F433" s="160"/>
    </row>
    <row r="434" spans="3:6" ht="15" customHeight="1" x14ac:dyDescent="0.25">
      <c r="C434" s="160"/>
      <c r="D434" s="160"/>
      <c r="E434" s="160"/>
      <c r="F434" s="160"/>
    </row>
    <row r="435" spans="3:6" ht="15" customHeight="1" x14ac:dyDescent="0.25">
      <c r="C435" s="160"/>
      <c r="D435" s="160"/>
      <c r="E435" s="160"/>
      <c r="F435" s="160"/>
    </row>
    <row r="436" spans="3:6" ht="15" customHeight="1" x14ac:dyDescent="0.25">
      <c r="C436" s="160"/>
      <c r="D436" s="160"/>
      <c r="E436" s="160"/>
      <c r="F436" s="160"/>
    </row>
    <row r="437" spans="3:6" ht="15" customHeight="1" x14ac:dyDescent="0.25">
      <c r="C437" s="160"/>
      <c r="D437" s="160"/>
      <c r="E437" s="160"/>
      <c r="F437" s="160"/>
    </row>
    <row r="438" spans="3:6" ht="15" customHeight="1" x14ac:dyDescent="0.25">
      <c r="C438" s="160"/>
      <c r="D438" s="160"/>
      <c r="E438" s="160"/>
      <c r="F438" s="160"/>
    </row>
    <row r="439" spans="3:6" ht="15" customHeight="1" x14ac:dyDescent="0.25">
      <c r="C439" s="160"/>
      <c r="D439" s="160"/>
      <c r="E439" s="160"/>
      <c r="F439" s="160"/>
    </row>
    <row r="440" spans="3:6" ht="15" customHeight="1" x14ac:dyDescent="0.25">
      <c r="C440" s="160"/>
      <c r="D440" s="160"/>
      <c r="E440" s="160"/>
      <c r="F440" s="160"/>
    </row>
    <row r="441" spans="3:6" ht="15" customHeight="1" x14ac:dyDescent="0.25">
      <c r="C441" s="160"/>
      <c r="D441" s="160"/>
      <c r="E441" s="160"/>
      <c r="F441" s="160"/>
    </row>
    <row r="442" spans="3:6" ht="15" customHeight="1" x14ac:dyDescent="0.25">
      <c r="C442" s="160"/>
      <c r="D442" s="160"/>
      <c r="E442" s="160"/>
      <c r="F442" s="160"/>
    </row>
    <row r="443" spans="3:6" ht="15" customHeight="1" x14ac:dyDescent="0.25">
      <c r="C443" s="160"/>
      <c r="D443" s="160"/>
      <c r="E443" s="160"/>
      <c r="F443" s="160"/>
    </row>
    <row r="444" spans="3:6" ht="15" customHeight="1" x14ac:dyDescent="0.25">
      <c r="C444" s="160"/>
      <c r="D444" s="160"/>
      <c r="E444" s="160"/>
      <c r="F444" s="160"/>
    </row>
    <row r="445" spans="3:6" ht="15" customHeight="1" x14ac:dyDescent="0.25">
      <c r="C445" s="160"/>
      <c r="D445" s="160"/>
      <c r="E445" s="160"/>
      <c r="F445" s="160"/>
    </row>
    <row r="446" spans="3:6" ht="15" customHeight="1" x14ac:dyDescent="0.25">
      <c r="C446" s="160"/>
      <c r="D446" s="160"/>
      <c r="E446" s="160"/>
      <c r="F446" s="160"/>
    </row>
    <row r="447" spans="3:6" ht="15" customHeight="1" x14ac:dyDescent="0.25">
      <c r="C447" s="160"/>
      <c r="D447" s="160"/>
      <c r="E447" s="160"/>
      <c r="F447" s="160"/>
    </row>
    <row r="448" spans="3:6" ht="15" customHeight="1" x14ac:dyDescent="0.25">
      <c r="C448" s="160"/>
      <c r="D448" s="160"/>
      <c r="E448" s="160"/>
      <c r="F448" s="160"/>
    </row>
    <row r="449" spans="3:6" ht="15" customHeight="1" x14ac:dyDescent="0.25">
      <c r="C449" s="160"/>
      <c r="D449" s="160"/>
      <c r="E449" s="160"/>
      <c r="F449" s="160"/>
    </row>
    <row r="450" spans="3:6" ht="15" customHeight="1" x14ac:dyDescent="0.25">
      <c r="C450" s="160"/>
      <c r="D450" s="160"/>
      <c r="E450" s="160"/>
      <c r="F450" s="160"/>
    </row>
    <row r="451" spans="3:6" ht="15" customHeight="1" x14ac:dyDescent="0.25">
      <c r="C451" s="160"/>
      <c r="D451" s="160"/>
      <c r="E451" s="160"/>
      <c r="F451" s="160"/>
    </row>
    <row r="452" spans="3:6" ht="15" customHeight="1" x14ac:dyDescent="0.25">
      <c r="C452" s="160"/>
      <c r="D452" s="160"/>
      <c r="E452" s="160"/>
      <c r="F452" s="160"/>
    </row>
    <row r="453" spans="3:6" ht="15" customHeight="1" x14ac:dyDescent="0.25">
      <c r="C453" s="160"/>
      <c r="D453" s="160"/>
      <c r="E453" s="160"/>
      <c r="F453" s="160"/>
    </row>
    <row r="454" spans="3:6" ht="15" customHeight="1" x14ac:dyDescent="0.25">
      <c r="C454" s="160"/>
      <c r="D454" s="160"/>
      <c r="E454" s="160"/>
      <c r="F454" s="160"/>
    </row>
    <row r="455" spans="3:6" ht="15" customHeight="1" x14ac:dyDescent="0.25">
      <c r="C455" s="160"/>
      <c r="D455" s="160"/>
      <c r="E455" s="160"/>
      <c r="F455" s="160"/>
    </row>
    <row r="456" spans="3:6" ht="15" customHeight="1" x14ac:dyDescent="0.25">
      <c r="C456" s="160"/>
      <c r="D456" s="160"/>
      <c r="E456" s="160"/>
      <c r="F456" s="160"/>
    </row>
    <row r="457" spans="3:6" ht="15" customHeight="1" x14ac:dyDescent="0.25">
      <c r="C457" s="160"/>
      <c r="D457" s="160"/>
      <c r="E457" s="160"/>
      <c r="F457" s="160"/>
    </row>
    <row r="458" spans="3:6" ht="15" customHeight="1" x14ac:dyDescent="0.25">
      <c r="C458" s="160"/>
      <c r="D458" s="160"/>
      <c r="E458" s="160"/>
      <c r="F458" s="160"/>
    </row>
    <row r="459" spans="3:6" ht="15" customHeight="1" x14ac:dyDescent="0.25">
      <c r="C459" s="160"/>
      <c r="D459" s="160"/>
      <c r="E459" s="160"/>
      <c r="F459" s="160"/>
    </row>
    <row r="460" spans="3:6" ht="15" customHeight="1" x14ac:dyDescent="0.25">
      <c r="C460" s="160"/>
      <c r="D460" s="160"/>
      <c r="E460" s="160"/>
      <c r="F460" s="160"/>
    </row>
    <row r="461" spans="3:6" ht="15" customHeight="1" x14ac:dyDescent="0.25">
      <c r="C461" s="160"/>
      <c r="D461" s="160"/>
      <c r="E461" s="160"/>
      <c r="F461" s="160"/>
    </row>
    <row r="462" spans="3:6" ht="15" customHeight="1" x14ac:dyDescent="0.25">
      <c r="C462" s="160"/>
      <c r="D462" s="160"/>
      <c r="E462" s="160"/>
      <c r="F462" s="160"/>
    </row>
    <row r="463" spans="3:6" ht="15" customHeight="1" x14ac:dyDescent="0.25">
      <c r="C463" s="160"/>
      <c r="D463" s="160"/>
      <c r="E463" s="160"/>
      <c r="F463" s="160"/>
    </row>
    <row r="464" spans="3:6" ht="15" customHeight="1" x14ac:dyDescent="0.25">
      <c r="C464" s="160"/>
      <c r="D464" s="160"/>
      <c r="E464" s="160"/>
      <c r="F464" s="160"/>
    </row>
    <row r="465" spans="3:6" ht="15" customHeight="1" x14ac:dyDescent="0.25">
      <c r="C465" s="160"/>
      <c r="D465" s="160"/>
      <c r="E465" s="160"/>
      <c r="F465" s="160"/>
    </row>
    <row r="466" spans="3:6" ht="15" customHeight="1" x14ac:dyDescent="0.25">
      <c r="C466" s="160"/>
      <c r="D466" s="160"/>
      <c r="E466" s="160"/>
      <c r="F466" s="160"/>
    </row>
    <row r="467" spans="3:6" ht="15" customHeight="1" x14ac:dyDescent="0.25">
      <c r="C467" s="160"/>
      <c r="D467" s="160"/>
      <c r="E467" s="160"/>
      <c r="F467" s="160"/>
    </row>
    <row r="468" spans="3:6" ht="15" customHeight="1" x14ac:dyDescent="0.25">
      <c r="C468" s="160"/>
      <c r="D468" s="160"/>
      <c r="E468" s="160"/>
      <c r="F468" s="160"/>
    </row>
    <row r="469" spans="3:6" ht="15" customHeight="1" x14ac:dyDescent="0.25">
      <c r="C469" s="160"/>
      <c r="D469" s="160"/>
      <c r="E469" s="160"/>
      <c r="F469" s="160"/>
    </row>
    <row r="470" spans="3:6" ht="15" customHeight="1" x14ac:dyDescent="0.25">
      <c r="C470" s="160"/>
      <c r="D470" s="160"/>
      <c r="E470" s="160"/>
      <c r="F470" s="160"/>
    </row>
    <row r="471" spans="3:6" ht="15" customHeight="1" x14ac:dyDescent="0.25">
      <c r="C471" s="160"/>
      <c r="D471" s="160"/>
      <c r="E471" s="160"/>
      <c r="F471" s="160"/>
    </row>
    <row r="472" spans="3:6" ht="15" customHeight="1" x14ac:dyDescent="0.25">
      <c r="C472" s="160"/>
      <c r="D472" s="160"/>
      <c r="E472" s="160"/>
      <c r="F472" s="160"/>
    </row>
    <row r="473" spans="3:6" ht="15" customHeight="1" x14ac:dyDescent="0.25">
      <c r="C473" s="160"/>
      <c r="D473" s="160"/>
      <c r="E473" s="160"/>
      <c r="F473" s="160"/>
    </row>
    <row r="474" spans="3:6" ht="15" customHeight="1" x14ac:dyDescent="0.25">
      <c r="C474" s="160"/>
      <c r="D474" s="160"/>
      <c r="E474" s="160"/>
      <c r="F474" s="160"/>
    </row>
    <row r="475" spans="3:6" ht="15" customHeight="1" x14ac:dyDescent="0.25">
      <c r="C475" s="160"/>
      <c r="D475" s="160"/>
      <c r="E475" s="160"/>
      <c r="F475" s="160"/>
    </row>
    <row r="476" spans="3:6" ht="15" customHeight="1" x14ac:dyDescent="0.25">
      <c r="C476" s="160"/>
      <c r="D476" s="160"/>
      <c r="E476" s="160"/>
      <c r="F476" s="160"/>
    </row>
    <row r="477" spans="3:6" ht="15" customHeight="1" x14ac:dyDescent="0.25">
      <c r="C477" s="160"/>
      <c r="D477" s="160"/>
      <c r="E477" s="160"/>
      <c r="F477" s="160"/>
    </row>
    <row r="478" spans="3:6" ht="15" customHeight="1" x14ac:dyDescent="0.25">
      <c r="C478" s="160"/>
      <c r="D478" s="160"/>
      <c r="E478" s="160"/>
      <c r="F478" s="160"/>
    </row>
    <row r="479" spans="3:6" ht="15" customHeight="1" x14ac:dyDescent="0.25">
      <c r="C479" s="160"/>
      <c r="D479" s="160"/>
      <c r="E479" s="160"/>
      <c r="F479" s="160"/>
    </row>
    <row r="480" spans="3:6" ht="15" customHeight="1" x14ac:dyDescent="0.25">
      <c r="C480" s="160"/>
      <c r="D480" s="160"/>
      <c r="E480" s="160"/>
      <c r="F480" s="160"/>
    </row>
    <row r="481" spans="3:6" ht="15" customHeight="1" x14ac:dyDescent="0.25">
      <c r="C481" s="160"/>
      <c r="D481" s="160"/>
      <c r="E481" s="160"/>
      <c r="F481" s="160"/>
    </row>
    <row r="482" spans="3:6" ht="15" customHeight="1" x14ac:dyDescent="0.25">
      <c r="C482" s="160"/>
      <c r="D482" s="160"/>
      <c r="E482" s="160"/>
      <c r="F482" s="160"/>
    </row>
    <row r="483" spans="3:6" ht="15" customHeight="1" x14ac:dyDescent="0.25">
      <c r="C483" s="160"/>
      <c r="D483" s="160"/>
      <c r="E483" s="160"/>
      <c r="F483" s="160"/>
    </row>
    <row r="484" spans="3:6" ht="15" customHeight="1" x14ac:dyDescent="0.25">
      <c r="C484" s="160"/>
      <c r="D484" s="160"/>
      <c r="E484" s="160"/>
      <c r="F484" s="160"/>
    </row>
    <row r="485" spans="3:6" ht="15" customHeight="1" x14ac:dyDescent="0.25">
      <c r="C485" s="160"/>
      <c r="D485" s="160"/>
      <c r="E485" s="160"/>
      <c r="F485" s="160"/>
    </row>
    <row r="486" spans="3:6" ht="15" customHeight="1" x14ac:dyDescent="0.25">
      <c r="C486" s="160"/>
      <c r="D486" s="160"/>
      <c r="E486" s="160"/>
      <c r="F486" s="160"/>
    </row>
    <row r="487" spans="3:6" ht="15" customHeight="1" x14ac:dyDescent="0.25">
      <c r="C487" s="160"/>
      <c r="D487" s="160"/>
      <c r="E487" s="160"/>
      <c r="F487" s="160"/>
    </row>
    <row r="488" spans="3:6" ht="15" customHeight="1" x14ac:dyDescent="0.25">
      <c r="C488" s="160"/>
      <c r="D488" s="160"/>
      <c r="E488" s="160"/>
      <c r="F488" s="160"/>
    </row>
    <row r="489" spans="3:6" ht="15" customHeight="1" x14ac:dyDescent="0.25">
      <c r="C489" s="160"/>
      <c r="D489" s="160"/>
      <c r="E489" s="160"/>
      <c r="F489" s="160"/>
    </row>
    <row r="490" spans="3:6" ht="15" customHeight="1" x14ac:dyDescent="0.25">
      <c r="C490" s="160"/>
      <c r="D490" s="160"/>
      <c r="E490" s="160"/>
      <c r="F490" s="160"/>
    </row>
    <row r="491" spans="3:6" ht="15" customHeight="1" x14ac:dyDescent="0.25">
      <c r="C491" s="160"/>
      <c r="D491" s="160"/>
      <c r="E491" s="160"/>
      <c r="F491" s="160"/>
    </row>
    <row r="492" spans="3:6" ht="15" customHeight="1" x14ac:dyDescent="0.25">
      <c r="C492" s="160"/>
      <c r="D492" s="160"/>
      <c r="E492" s="160"/>
      <c r="F492" s="160"/>
    </row>
    <row r="493" spans="3:6" ht="15" customHeight="1" x14ac:dyDescent="0.25">
      <c r="C493" s="160"/>
      <c r="D493" s="160"/>
      <c r="E493" s="160"/>
      <c r="F493" s="160"/>
    </row>
    <row r="494" spans="3:6" ht="15" customHeight="1" x14ac:dyDescent="0.25">
      <c r="C494" s="160"/>
      <c r="D494" s="160"/>
      <c r="E494" s="160"/>
      <c r="F494" s="160"/>
    </row>
    <row r="495" spans="3:6" ht="15" customHeight="1" x14ac:dyDescent="0.25">
      <c r="C495" s="160"/>
      <c r="D495" s="160"/>
      <c r="E495" s="160"/>
      <c r="F495" s="160"/>
    </row>
    <row r="496" spans="3:6" ht="15" customHeight="1" x14ac:dyDescent="0.25">
      <c r="C496" s="160"/>
      <c r="D496" s="160"/>
      <c r="E496" s="160"/>
      <c r="F496" s="160"/>
    </row>
    <row r="497" spans="3:6" ht="15" customHeight="1" x14ac:dyDescent="0.25">
      <c r="C497" s="160"/>
      <c r="D497" s="160"/>
      <c r="E497" s="160"/>
      <c r="F497" s="160"/>
    </row>
    <row r="498" spans="3:6" ht="15" customHeight="1" x14ac:dyDescent="0.25">
      <c r="C498" s="160"/>
      <c r="D498" s="160"/>
      <c r="E498" s="160"/>
      <c r="F498" s="160"/>
    </row>
    <row r="499" spans="3:6" ht="15" customHeight="1" x14ac:dyDescent="0.25">
      <c r="C499" s="160"/>
      <c r="D499" s="160"/>
      <c r="E499" s="160"/>
      <c r="F499" s="160"/>
    </row>
    <row r="500" spans="3:6" ht="15" customHeight="1" x14ac:dyDescent="0.25">
      <c r="C500" s="160"/>
      <c r="D500" s="160"/>
      <c r="E500" s="160"/>
      <c r="F500" s="160"/>
    </row>
    <row r="501" spans="3:6" ht="15" customHeight="1" x14ac:dyDescent="0.25">
      <c r="C501" s="160"/>
      <c r="D501" s="160"/>
      <c r="E501" s="160"/>
      <c r="F501" s="160"/>
    </row>
    <row r="502" spans="3:6" ht="15" customHeight="1" x14ac:dyDescent="0.25">
      <c r="C502" s="160"/>
      <c r="D502" s="160"/>
      <c r="E502" s="160"/>
      <c r="F502" s="160"/>
    </row>
    <row r="503" spans="3:6" ht="15" customHeight="1" x14ac:dyDescent="0.25">
      <c r="C503" s="160"/>
      <c r="D503" s="160"/>
      <c r="E503" s="160"/>
      <c r="F503" s="160"/>
    </row>
    <row r="504" spans="3:6" ht="15" customHeight="1" x14ac:dyDescent="0.25">
      <c r="C504" s="160"/>
      <c r="D504" s="160"/>
      <c r="E504" s="160"/>
      <c r="F504" s="160"/>
    </row>
    <row r="505" spans="3:6" ht="15" customHeight="1" x14ac:dyDescent="0.25">
      <c r="C505" s="160"/>
      <c r="D505" s="160"/>
      <c r="E505" s="160"/>
      <c r="F505" s="160"/>
    </row>
    <row r="506" spans="3:6" ht="15" customHeight="1" x14ac:dyDescent="0.25">
      <c r="C506" s="160"/>
      <c r="D506" s="160"/>
      <c r="E506" s="160"/>
      <c r="F506" s="160"/>
    </row>
    <row r="507" spans="3:6" ht="15" customHeight="1" x14ac:dyDescent="0.25">
      <c r="C507" s="160"/>
      <c r="D507" s="160"/>
      <c r="E507" s="160"/>
      <c r="F507" s="160"/>
    </row>
    <row r="508" spans="3:6" ht="15" customHeight="1" x14ac:dyDescent="0.25">
      <c r="C508" s="160"/>
      <c r="D508" s="160"/>
      <c r="E508" s="160"/>
      <c r="F508" s="160"/>
    </row>
    <row r="509" spans="3:6" ht="15" customHeight="1" x14ac:dyDescent="0.25">
      <c r="C509" s="160"/>
      <c r="D509" s="160"/>
      <c r="E509" s="160"/>
      <c r="F509" s="160"/>
    </row>
    <row r="510" spans="3:6" ht="15" customHeight="1" x14ac:dyDescent="0.25">
      <c r="C510" s="160"/>
      <c r="D510" s="160"/>
      <c r="E510" s="160"/>
      <c r="F510" s="160"/>
    </row>
    <row r="511" spans="3:6" ht="15" customHeight="1" x14ac:dyDescent="0.25">
      <c r="C511" s="160"/>
      <c r="D511" s="160"/>
      <c r="E511" s="160"/>
      <c r="F511" s="160"/>
    </row>
    <row r="512" spans="3:6" ht="15" customHeight="1" x14ac:dyDescent="0.25">
      <c r="C512" s="160"/>
      <c r="D512" s="160"/>
      <c r="E512" s="160"/>
      <c r="F512" s="160"/>
    </row>
    <row r="513" spans="3:6" ht="15" customHeight="1" x14ac:dyDescent="0.25">
      <c r="C513" s="160"/>
      <c r="D513" s="160"/>
      <c r="E513" s="160"/>
      <c r="F513" s="160"/>
    </row>
    <row r="514" spans="3:6" ht="15" customHeight="1" x14ac:dyDescent="0.25">
      <c r="C514" s="160"/>
      <c r="D514" s="160"/>
      <c r="E514" s="160"/>
      <c r="F514" s="160"/>
    </row>
    <row r="515" spans="3:6" ht="15" customHeight="1" x14ac:dyDescent="0.25">
      <c r="C515" s="160"/>
      <c r="D515" s="160"/>
      <c r="E515" s="160"/>
      <c r="F515" s="160"/>
    </row>
    <row r="516" spans="3:6" ht="15" customHeight="1" x14ac:dyDescent="0.25">
      <c r="C516" s="160"/>
      <c r="D516" s="160"/>
      <c r="E516" s="160"/>
      <c r="F516" s="160"/>
    </row>
    <row r="517" spans="3:6" ht="15" customHeight="1" x14ac:dyDescent="0.25">
      <c r="C517" s="160"/>
      <c r="D517" s="160"/>
      <c r="E517" s="160"/>
      <c r="F517" s="160"/>
    </row>
    <row r="518" spans="3:6" ht="15" customHeight="1" x14ac:dyDescent="0.25">
      <c r="C518" s="160"/>
      <c r="D518" s="160"/>
      <c r="E518" s="160"/>
      <c r="F518" s="160"/>
    </row>
    <row r="519" spans="3:6" ht="15" customHeight="1" x14ac:dyDescent="0.25">
      <c r="C519" s="160"/>
      <c r="D519" s="160"/>
      <c r="E519" s="160"/>
      <c r="F519" s="160"/>
    </row>
    <row r="520" spans="3:6" ht="15" customHeight="1" x14ac:dyDescent="0.25">
      <c r="C520" s="160"/>
      <c r="D520" s="160"/>
      <c r="E520" s="160"/>
      <c r="F520" s="160"/>
    </row>
    <row r="521" spans="3:6" ht="15" customHeight="1" x14ac:dyDescent="0.25">
      <c r="C521" s="160"/>
      <c r="D521" s="160"/>
      <c r="E521" s="160"/>
      <c r="F521" s="160"/>
    </row>
    <row r="522" spans="3:6" ht="15" customHeight="1" x14ac:dyDescent="0.25">
      <c r="C522" s="160"/>
      <c r="D522" s="160"/>
      <c r="E522" s="160"/>
      <c r="F522" s="160"/>
    </row>
    <row r="523" spans="3:6" ht="15" customHeight="1" x14ac:dyDescent="0.25">
      <c r="C523" s="160"/>
      <c r="D523" s="160"/>
      <c r="E523" s="160"/>
      <c r="F523" s="160"/>
    </row>
    <row r="524" spans="3:6" ht="15" customHeight="1" x14ac:dyDescent="0.25">
      <c r="C524" s="160"/>
      <c r="D524" s="160"/>
      <c r="E524" s="160"/>
      <c r="F524" s="160"/>
    </row>
    <row r="525" spans="3:6" ht="15" customHeight="1" x14ac:dyDescent="0.25">
      <c r="C525" s="160"/>
      <c r="D525" s="160"/>
      <c r="E525" s="160"/>
      <c r="F525" s="160"/>
    </row>
    <row r="526" spans="3:6" ht="15" customHeight="1" x14ac:dyDescent="0.25">
      <c r="C526" s="160"/>
      <c r="D526" s="160"/>
      <c r="E526" s="160"/>
      <c r="F526" s="160"/>
    </row>
    <row r="527" spans="3:6" ht="15" customHeight="1" x14ac:dyDescent="0.25">
      <c r="C527" s="160"/>
      <c r="D527" s="160"/>
      <c r="E527" s="160"/>
      <c r="F527" s="160"/>
    </row>
    <row r="528" spans="3:6" ht="15" customHeight="1" x14ac:dyDescent="0.25">
      <c r="C528" s="160"/>
      <c r="D528" s="160"/>
      <c r="E528" s="160"/>
      <c r="F528" s="160"/>
    </row>
    <row r="529" spans="3:6" ht="15" customHeight="1" x14ac:dyDescent="0.25">
      <c r="C529" s="160"/>
      <c r="D529" s="160"/>
      <c r="E529" s="160"/>
      <c r="F529" s="160"/>
    </row>
    <row r="530" spans="3:6" ht="15" customHeight="1" x14ac:dyDescent="0.25">
      <c r="C530" s="160"/>
      <c r="D530" s="160"/>
      <c r="E530" s="160"/>
      <c r="F530" s="160"/>
    </row>
    <row r="531" spans="3:6" ht="15" customHeight="1" x14ac:dyDescent="0.25">
      <c r="C531" s="160"/>
      <c r="D531" s="160"/>
      <c r="E531" s="160"/>
      <c r="F531" s="160"/>
    </row>
    <row r="532" spans="3:6" ht="15" customHeight="1" x14ac:dyDescent="0.25">
      <c r="C532" s="160"/>
      <c r="D532" s="160"/>
      <c r="E532" s="160"/>
      <c r="F532" s="160"/>
    </row>
    <row r="533" spans="3:6" ht="15" customHeight="1" x14ac:dyDescent="0.25">
      <c r="C533" s="160"/>
      <c r="D533" s="160"/>
      <c r="E533" s="160"/>
      <c r="F533" s="160"/>
    </row>
    <row r="534" spans="3:6" ht="15" customHeight="1" x14ac:dyDescent="0.25">
      <c r="C534" s="160"/>
      <c r="D534" s="160"/>
      <c r="E534" s="160"/>
      <c r="F534" s="160"/>
    </row>
    <row r="535" spans="3:6" ht="15" customHeight="1" x14ac:dyDescent="0.25">
      <c r="C535" s="160"/>
      <c r="D535" s="160"/>
      <c r="E535" s="160"/>
      <c r="F535" s="160"/>
    </row>
    <row r="536" spans="3:6" ht="15" customHeight="1" x14ac:dyDescent="0.25">
      <c r="C536" s="160"/>
      <c r="D536" s="160"/>
      <c r="E536" s="160"/>
      <c r="F536" s="160"/>
    </row>
    <row r="537" spans="3:6" ht="15" customHeight="1" x14ac:dyDescent="0.25">
      <c r="C537" s="160"/>
      <c r="D537" s="160"/>
      <c r="E537" s="160"/>
      <c r="F537" s="160"/>
    </row>
    <row r="538" spans="3:6" ht="15" customHeight="1" x14ac:dyDescent="0.25">
      <c r="C538" s="160"/>
      <c r="D538" s="160"/>
      <c r="E538" s="160"/>
      <c r="F538" s="160"/>
    </row>
    <row r="539" spans="3:6" ht="15" customHeight="1" x14ac:dyDescent="0.25">
      <c r="C539" s="160"/>
      <c r="D539" s="160"/>
      <c r="E539" s="160"/>
      <c r="F539" s="160"/>
    </row>
    <row r="540" spans="3:6" ht="15" customHeight="1" x14ac:dyDescent="0.25">
      <c r="C540" s="160"/>
      <c r="D540" s="160"/>
      <c r="E540" s="160"/>
      <c r="F540" s="160"/>
    </row>
    <row r="541" spans="3:6" ht="15" customHeight="1" x14ac:dyDescent="0.25">
      <c r="C541" s="160"/>
      <c r="D541" s="160"/>
      <c r="E541" s="160"/>
      <c r="F541" s="160"/>
    </row>
    <row r="542" spans="3:6" ht="15" customHeight="1" x14ac:dyDescent="0.25">
      <c r="C542" s="160"/>
      <c r="D542" s="160"/>
      <c r="E542" s="160"/>
      <c r="F542" s="160"/>
    </row>
    <row r="543" spans="3:6" ht="15" customHeight="1" x14ac:dyDescent="0.25">
      <c r="C543" s="160"/>
      <c r="D543" s="160"/>
      <c r="E543" s="160"/>
      <c r="F543" s="160"/>
    </row>
    <row r="544" spans="3:6" ht="15" customHeight="1" x14ac:dyDescent="0.25">
      <c r="C544" s="160"/>
      <c r="D544" s="160"/>
      <c r="E544" s="160"/>
      <c r="F544" s="160"/>
    </row>
    <row r="545" spans="3:6" ht="15" customHeight="1" x14ac:dyDescent="0.25">
      <c r="C545" s="160"/>
      <c r="D545" s="160"/>
      <c r="E545" s="160"/>
      <c r="F545" s="160"/>
    </row>
    <row r="546" spans="3:6" ht="15" customHeight="1" x14ac:dyDescent="0.25">
      <c r="C546" s="160"/>
      <c r="D546" s="160"/>
      <c r="E546" s="160"/>
      <c r="F546" s="160"/>
    </row>
    <row r="547" spans="3:6" ht="15" customHeight="1" x14ac:dyDescent="0.25">
      <c r="C547" s="160"/>
      <c r="D547" s="160"/>
      <c r="E547" s="160"/>
      <c r="F547" s="160"/>
    </row>
    <row r="548" spans="3:6" ht="15" customHeight="1" x14ac:dyDescent="0.25">
      <c r="C548" s="160"/>
      <c r="D548" s="160"/>
      <c r="E548" s="160"/>
      <c r="F548" s="160"/>
    </row>
    <row r="549" spans="3:6" ht="15" customHeight="1" x14ac:dyDescent="0.25">
      <c r="C549" s="160"/>
      <c r="D549" s="160"/>
      <c r="E549" s="160"/>
      <c r="F549" s="160"/>
    </row>
    <row r="550" spans="3:6" ht="15" customHeight="1" x14ac:dyDescent="0.25">
      <c r="C550" s="160"/>
      <c r="D550" s="160"/>
      <c r="E550" s="160"/>
      <c r="F550" s="160"/>
    </row>
    <row r="551" spans="3:6" ht="15" customHeight="1" x14ac:dyDescent="0.25">
      <c r="C551" s="160"/>
      <c r="D551" s="160"/>
      <c r="E551" s="160"/>
      <c r="F551" s="160"/>
    </row>
    <row r="552" spans="3:6" ht="15" customHeight="1" x14ac:dyDescent="0.25">
      <c r="C552" s="160"/>
      <c r="D552" s="160"/>
      <c r="E552" s="160"/>
      <c r="F552" s="160"/>
    </row>
    <row r="553" spans="3:6" ht="15" customHeight="1" x14ac:dyDescent="0.25">
      <c r="C553" s="160"/>
      <c r="D553" s="160"/>
      <c r="E553" s="160"/>
      <c r="F553" s="160"/>
    </row>
    <row r="554" spans="3:6" ht="15" customHeight="1" x14ac:dyDescent="0.25">
      <c r="C554" s="160"/>
      <c r="D554" s="160"/>
      <c r="E554" s="160"/>
      <c r="F554" s="160"/>
    </row>
    <row r="555" spans="3:6" ht="15" customHeight="1" x14ac:dyDescent="0.25">
      <c r="C555" s="160"/>
      <c r="D555" s="160"/>
      <c r="E555" s="160"/>
      <c r="F555" s="160"/>
    </row>
    <row r="556" spans="3:6" ht="15" customHeight="1" x14ac:dyDescent="0.25">
      <c r="C556" s="160"/>
      <c r="D556" s="160"/>
      <c r="E556" s="160"/>
      <c r="F556" s="160"/>
    </row>
    <row r="557" spans="3:6" ht="15" customHeight="1" x14ac:dyDescent="0.25">
      <c r="C557" s="160"/>
      <c r="D557" s="160"/>
      <c r="E557" s="160"/>
      <c r="F557" s="160"/>
    </row>
    <row r="558" spans="3:6" ht="15" customHeight="1" x14ac:dyDescent="0.25">
      <c r="C558" s="160"/>
      <c r="D558" s="160"/>
      <c r="E558" s="160"/>
      <c r="F558" s="160"/>
    </row>
    <row r="559" spans="3:6" ht="15" customHeight="1" x14ac:dyDescent="0.25">
      <c r="C559" s="160"/>
      <c r="D559" s="160"/>
      <c r="E559" s="160"/>
      <c r="F559" s="160"/>
    </row>
    <row r="560" spans="3:6" ht="15" customHeight="1" x14ac:dyDescent="0.25">
      <c r="C560" s="160"/>
      <c r="D560" s="160"/>
      <c r="E560" s="160"/>
      <c r="F560" s="160"/>
    </row>
    <row r="561" spans="3:6" ht="15" customHeight="1" x14ac:dyDescent="0.25">
      <c r="C561" s="160"/>
      <c r="D561" s="160"/>
      <c r="E561" s="160"/>
      <c r="F561" s="160"/>
    </row>
    <row r="562" spans="3:6" ht="15" customHeight="1" x14ac:dyDescent="0.25">
      <c r="C562" s="160"/>
      <c r="D562" s="160"/>
      <c r="E562" s="160"/>
      <c r="F562" s="160"/>
    </row>
    <row r="563" spans="3:6" ht="15" customHeight="1" x14ac:dyDescent="0.25">
      <c r="C563" s="160"/>
      <c r="D563" s="160"/>
      <c r="E563" s="160"/>
      <c r="F563" s="160"/>
    </row>
    <row r="564" spans="3:6" ht="15" customHeight="1" x14ac:dyDescent="0.25">
      <c r="C564" s="160"/>
      <c r="D564" s="160"/>
      <c r="E564" s="160"/>
      <c r="F564" s="160"/>
    </row>
    <row r="565" spans="3:6" ht="15" customHeight="1" x14ac:dyDescent="0.25">
      <c r="C565" s="160"/>
      <c r="D565" s="160"/>
      <c r="E565" s="160"/>
      <c r="F565" s="160"/>
    </row>
    <row r="566" spans="3:6" ht="15" customHeight="1" x14ac:dyDescent="0.25">
      <c r="C566" s="160"/>
      <c r="D566" s="160"/>
      <c r="E566" s="160"/>
      <c r="F566" s="160"/>
    </row>
    <row r="567" spans="3:6" ht="15" customHeight="1" x14ac:dyDescent="0.25">
      <c r="C567" s="160"/>
      <c r="D567" s="160"/>
      <c r="E567" s="160"/>
      <c r="F567" s="160"/>
    </row>
    <row r="568" spans="3:6" ht="15" customHeight="1" x14ac:dyDescent="0.25">
      <c r="C568" s="160"/>
      <c r="D568" s="160"/>
      <c r="E568" s="160"/>
      <c r="F568" s="160"/>
    </row>
    <row r="569" spans="3:6" ht="15" customHeight="1" x14ac:dyDescent="0.25">
      <c r="C569" s="160"/>
      <c r="D569" s="160"/>
      <c r="E569" s="160"/>
      <c r="F569" s="160"/>
    </row>
    <row r="570" spans="3:6" ht="15" customHeight="1" x14ac:dyDescent="0.25">
      <c r="C570" s="160"/>
      <c r="D570" s="160"/>
      <c r="E570" s="160"/>
      <c r="F570" s="160"/>
    </row>
    <row r="571" spans="3:6" ht="15" customHeight="1" x14ac:dyDescent="0.25">
      <c r="C571" s="160"/>
      <c r="D571" s="160"/>
      <c r="E571" s="160"/>
      <c r="F571" s="160"/>
    </row>
    <row r="572" spans="3:6" ht="15" customHeight="1" x14ac:dyDescent="0.25">
      <c r="C572" s="160"/>
      <c r="D572" s="160"/>
      <c r="E572" s="160"/>
      <c r="F572" s="160"/>
    </row>
    <row r="573" spans="3:6" ht="15" customHeight="1" x14ac:dyDescent="0.25">
      <c r="C573" s="160"/>
      <c r="D573" s="160"/>
      <c r="E573" s="160"/>
      <c r="F573" s="160"/>
    </row>
    <row r="574" spans="3:6" ht="15" customHeight="1" x14ac:dyDescent="0.25">
      <c r="C574" s="160"/>
      <c r="D574" s="160"/>
      <c r="E574" s="160"/>
      <c r="F574" s="160"/>
    </row>
    <row r="575" spans="3:6" ht="15" customHeight="1" x14ac:dyDescent="0.25">
      <c r="C575" s="160"/>
      <c r="D575" s="160"/>
      <c r="E575" s="160"/>
      <c r="F575" s="160"/>
    </row>
    <row r="576" spans="3:6" ht="15" customHeight="1" x14ac:dyDescent="0.25">
      <c r="C576" s="160"/>
      <c r="D576" s="160"/>
      <c r="E576" s="160"/>
      <c r="F576" s="160"/>
    </row>
    <row r="577" spans="3:6" ht="15" customHeight="1" x14ac:dyDescent="0.25">
      <c r="C577" s="160"/>
      <c r="D577" s="160"/>
      <c r="E577" s="160"/>
      <c r="F577" s="160"/>
    </row>
    <row r="578" spans="3:6" ht="15" customHeight="1" x14ac:dyDescent="0.25">
      <c r="C578" s="160"/>
      <c r="D578" s="160"/>
      <c r="E578" s="160"/>
      <c r="F578" s="160"/>
    </row>
    <row r="579" spans="3:6" ht="15" customHeight="1" x14ac:dyDescent="0.25">
      <c r="C579" s="160"/>
      <c r="D579" s="160"/>
      <c r="E579" s="160"/>
      <c r="F579" s="160"/>
    </row>
    <row r="580" spans="3:6" ht="15" customHeight="1" x14ac:dyDescent="0.25">
      <c r="C580" s="160"/>
      <c r="D580" s="160"/>
      <c r="E580" s="160"/>
      <c r="F580" s="160"/>
    </row>
    <row r="581" spans="3:6" ht="15" customHeight="1" x14ac:dyDescent="0.25">
      <c r="C581" s="160"/>
      <c r="D581" s="160"/>
      <c r="E581" s="160"/>
      <c r="F581" s="160"/>
    </row>
    <row r="582" spans="3:6" ht="15" customHeight="1" x14ac:dyDescent="0.25">
      <c r="C582" s="160"/>
      <c r="D582" s="160"/>
      <c r="E582" s="160"/>
      <c r="F582" s="160"/>
    </row>
    <row r="583" spans="3:6" ht="15" customHeight="1" x14ac:dyDescent="0.25">
      <c r="C583" s="160"/>
      <c r="D583" s="160"/>
      <c r="E583" s="160"/>
      <c r="F583" s="160"/>
    </row>
    <row r="584" spans="3:6" ht="15" customHeight="1" x14ac:dyDescent="0.25">
      <c r="C584" s="160"/>
      <c r="D584" s="160"/>
      <c r="E584" s="160"/>
      <c r="F584" s="160"/>
    </row>
    <row r="585" spans="3:6" ht="15" customHeight="1" x14ac:dyDescent="0.25">
      <c r="C585" s="160"/>
      <c r="D585" s="160"/>
      <c r="E585" s="160"/>
      <c r="F585" s="160"/>
    </row>
    <row r="586" spans="3:6" ht="15" customHeight="1" x14ac:dyDescent="0.25">
      <c r="C586" s="160"/>
      <c r="D586" s="160"/>
      <c r="E586" s="160"/>
      <c r="F586" s="160"/>
    </row>
    <row r="587" spans="3:6" ht="15" customHeight="1" x14ac:dyDescent="0.25">
      <c r="C587" s="160"/>
      <c r="D587" s="160"/>
      <c r="E587" s="160"/>
      <c r="F587" s="160"/>
    </row>
    <row r="588" spans="3:6" ht="15" customHeight="1" x14ac:dyDescent="0.25">
      <c r="C588" s="160"/>
      <c r="D588" s="160"/>
      <c r="E588" s="160"/>
      <c r="F588" s="160"/>
    </row>
    <row r="589" spans="3:6" ht="15" customHeight="1" x14ac:dyDescent="0.25">
      <c r="C589" s="160"/>
      <c r="D589" s="160"/>
      <c r="E589" s="160"/>
      <c r="F589" s="160"/>
    </row>
    <row r="590" spans="3:6" ht="15" customHeight="1" x14ac:dyDescent="0.25">
      <c r="C590" s="160"/>
      <c r="D590" s="160"/>
      <c r="E590" s="160"/>
      <c r="F590" s="160"/>
    </row>
    <row r="591" spans="3:6" ht="15" customHeight="1" x14ac:dyDescent="0.25">
      <c r="C591" s="160"/>
      <c r="D591" s="160"/>
      <c r="E591" s="160"/>
      <c r="F591" s="160"/>
    </row>
    <row r="592" spans="3:6" ht="15" customHeight="1" x14ac:dyDescent="0.25">
      <c r="C592" s="160"/>
      <c r="D592" s="160"/>
      <c r="E592" s="160"/>
      <c r="F592" s="160"/>
    </row>
    <row r="593" spans="3:6" ht="15" customHeight="1" x14ac:dyDescent="0.25">
      <c r="C593" s="160"/>
      <c r="D593" s="160"/>
      <c r="E593" s="160"/>
      <c r="F593" s="160"/>
    </row>
    <row r="594" spans="3:6" ht="15" customHeight="1" x14ac:dyDescent="0.25">
      <c r="C594" s="160"/>
      <c r="D594" s="160"/>
      <c r="E594" s="160"/>
      <c r="F594" s="160"/>
    </row>
    <row r="595" spans="3:6" ht="15" customHeight="1" x14ac:dyDescent="0.25">
      <c r="C595" s="160"/>
      <c r="D595" s="160"/>
      <c r="E595" s="160"/>
      <c r="F595" s="160"/>
    </row>
    <row r="596" spans="3:6" ht="15" customHeight="1" x14ac:dyDescent="0.25">
      <c r="C596" s="160"/>
      <c r="D596" s="160"/>
      <c r="E596" s="160"/>
      <c r="F596" s="160"/>
    </row>
    <row r="597" spans="3:6" ht="15" customHeight="1" x14ac:dyDescent="0.25">
      <c r="C597" s="160"/>
      <c r="D597" s="160"/>
      <c r="E597" s="160"/>
      <c r="F597" s="160"/>
    </row>
    <row r="598" spans="3:6" ht="15" customHeight="1" x14ac:dyDescent="0.25">
      <c r="C598" s="160"/>
      <c r="D598" s="160"/>
      <c r="E598" s="160"/>
      <c r="F598" s="160"/>
    </row>
    <row r="599" spans="3:6" ht="15" customHeight="1" x14ac:dyDescent="0.25">
      <c r="C599" s="160"/>
      <c r="D599" s="160"/>
      <c r="E599" s="160"/>
      <c r="F599" s="160"/>
    </row>
    <row r="600" spans="3:6" ht="15" customHeight="1" x14ac:dyDescent="0.25">
      <c r="C600" s="160"/>
      <c r="D600" s="160"/>
      <c r="E600" s="160"/>
      <c r="F600" s="160"/>
    </row>
    <row r="601" spans="3:6" ht="15" customHeight="1" x14ac:dyDescent="0.25">
      <c r="C601" s="160"/>
      <c r="D601" s="160"/>
      <c r="E601" s="160"/>
      <c r="F601" s="160"/>
    </row>
    <row r="602" spans="3:6" ht="15" customHeight="1" x14ac:dyDescent="0.25">
      <c r="C602" s="160"/>
      <c r="D602" s="160"/>
      <c r="E602" s="160"/>
      <c r="F602" s="160"/>
    </row>
    <row r="603" spans="3:6" ht="15" customHeight="1" x14ac:dyDescent="0.25">
      <c r="C603" s="160"/>
      <c r="D603" s="160"/>
      <c r="E603" s="160"/>
      <c r="F603" s="160"/>
    </row>
    <row r="604" spans="3:6" ht="15" customHeight="1" x14ac:dyDescent="0.25">
      <c r="C604" s="160"/>
      <c r="D604" s="160"/>
      <c r="E604" s="160"/>
      <c r="F604" s="160"/>
    </row>
    <row r="605" spans="3:6" ht="15" customHeight="1" x14ac:dyDescent="0.25">
      <c r="C605" s="160"/>
      <c r="D605" s="160"/>
      <c r="E605" s="160"/>
      <c r="F605" s="160"/>
    </row>
    <row r="606" spans="3:6" ht="15" customHeight="1" x14ac:dyDescent="0.25">
      <c r="C606" s="160"/>
      <c r="D606" s="160"/>
      <c r="E606" s="160"/>
      <c r="F606" s="160"/>
    </row>
    <row r="607" spans="3:6" ht="15" customHeight="1" x14ac:dyDescent="0.25">
      <c r="C607" s="160"/>
      <c r="D607" s="160"/>
      <c r="E607" s="160"/>
      <c r="F607" s="160"/>
    </row>
    <row r="608" spans="3:6" ht="15" customHeight="1" x14ac:dyDescent="0.25">
      <c r="C608" s="160"/>
      <c r="D608" s="160"/>
      <c r="E608" s="160"/>
      <c r="F608" s="160"/>
    </row>
    <row r="609" spans="3:6" ht="15" customHeight="1" x14ac:dyDescent="0.25">
      <c r="C609" s="160"/>
      <c r="D609" s="160"/>
      <c r="E609" s="160"/>
      <c r="F609" s="160"/>
    </row>
    <row r="610" spans="3:6" ht="15" customHeight="1" x14ac:dyDescent="0.25">
      <c r="C610" s="160"/>
      <c r="D610" s="160"/>
      <c r="E610" s="160"/>
      <c r="F610" s="160"/>
    </row>
    <row r="611" spans="3:6" ht="15" customHeight="1" x14ac:dyDescent="0.25">
      <c r="C611" s="160"/>
      <c r="D611" s="160"/>
      <c r="E611" s="160"/>
      <c r="F611" s="160"/>
    </row>
    <row r="612" spans="3:6" ht="15" customHeight="1" x14ac:dyDescent="0.25">
      <c r="C612" s="160"/>
      <c r="D612" s="160"/>
      <c r="E612" s="160"/>
      <c r="F612" s="160"/>
    </row>
    <row r="613" spans="3:6" ht="15" customHeight="1" x14ac:dyDescent="0.25">
      <c r="C613" s="160"/>
      <c r="D613" s="160"/>
      <c r="E613" s="160"/>
      <c r="F613" s="160"/>
    </row>
    <row r="614" spans="3:6" ht="15" customHeight="1" x14ac:dyDescent="0.25">
      <c r="C614" s="160"/>
      <c r="D614" s="160"/>
      <c r="E614" s="160"/>
      <c r="F614" s="160"/>
    </row>
    <row r="615" spans="3:6" ht="15" customHeight="1" x14ac:dyDescent="0.25">
      <c r="C615" s="160"/>
      <c r="D615" s="160"/>
      <c r="E615" s="160"/>
      <c r="F615" s="160"/>
    </row>
    <row r="616" spans="3:6" ht="15" customHeight="1" x14ac:dyDescent="0.25">
      <c r="C616" s="160"/>
      <c r="D616" s="160"/>
      <c r="E616" s="160"/>
      <c r="F616" s="160"/>
    </row>
    <row r="617" spans="3:6" ht="15" customHeight="1" x14ac:dyDescent="0.25">
      <c r="C617" s="160"/>
      <c r="D617" s="160"/>
      <c r="E617" s="160"/>
      <c r="F617" s="160"/>
    </row>
    <row r="618" spans="3:6" ht="15" customHeight="1" x14ac:dyDescent="0.25">
      <c r="C618" s="160"/>
      <c r="D618" s="160"/>
      <c r="E618" s="160"/>
      <c r="F618" s="160"/>
    </row>
    <row r="619" spans="3:6" ht="15" customHeight="1" x14ac:dyDescent="0.25">
      <c r="C619" s="160"/>
      <c r="D619" s="160"/>
      <c r="E619" s="160"/>
      <c r="F619" s="160"/>
    </row>
    <row r="620" spans="3:6" ht="15" customHeight="1" x14ac:dyDescent="0.25">
      <c r="C620" s="160"/>
      <c r="D620" s="160"/>
      <c r="E620" s="160"/>
      <c r="F620" s="160"/>
    </row>
    <row r="621" spans="3:6" ht="15" customHeight="1" x14ac:dyDescent="0.25">
      <c r="C621" s="160"/>
      <c r="D621" s="160"/>
      <c r="E621" s="160"/>
      <c r="F621" s="160"/>
    </row>
    <row r="622" spans="3:6" ht="15" customHeight="1" x14ac:dyDescent="0.25">
      <c r="C622" s="160"/>
      <c r="D622" s="160"/>
      <c r="E622" s="160"/>
      <c r="F622" s="160"/>
    </row>
    <row r="623" spans="3:6" ht="15" customHeight="1" x14ac:dyDescent="0.25">
      <c r="C623" s="160"/>
      <c r="D623" s="160"/>
      <c r="E623" s="160"/>
      <c r="F623" s="160"/>
    </row>
    <row r="624" spans="3:6" ht="15" customHeight="1" x14ac:dyDescent="0.25">
      <c r="C624" s="160"/>
      <c r="D624" s="160"/>
      <c r="E624" s="160"/>
      <c r="F624" s="160"/>
    </row>
    <row r="625" spans="3:6" ht="15" customHeight="1" x14ac:dyDescent="0.25">
      <c r="C625" s="160"/>
      <c r="D625" s="160"/>
      <c r="E625" s="160"/>
      <c r="F625" s="160"/>
    </row>
    <row r="626" spans="3:6" ht="15" customHeight="1" x14ac:dyDescent="0.25">
      <c r="C626" s="160"/>
      <c r="D626" s="160"/>
      <c r="E626" s="160"/>
      <c r="F626" s="160"/>
    </row>
    <row r="627" spans="3:6" ht="15" customHeight="1" x14ac:dyDescent="0.25">
      <c r="C627" s="160"/>
      <c r="D627" s="160"/>
      <c r="E627" s="160"/>
      <c r="F627" s="160"/>
    </row>
    <row r="628" spans="3:6" ht="15" customHeight="1" x14ac:dyDescent="0.25">
      <c r="C628" s="160"/>
      <c r="D628" s="160"/>
      <c r="E628" s="160"/>
      <c r="F628" s="160"/>
    </row>
    <row r="629" spans="3:6" ht="15" customHeight="1" x14ac:dyDescent="0.25">
      <c r="C629" s="160"/>
      <c r="D629" s="160"/>
      <c r="E629" s="160"/>
      <c r="F629" s="160"/>
    </row>
    <row r="630" spans="3:6" ht="15" customHeight="1" x14ac:dyDescent="0.25">
      <c r="C630" s="160"/>
      <c r="D630" s="160"/>
      <c r="E630" s="160"/>
      <c r="F630" s="160"/>
    </row>
    <row r="631" spans="3:6" ht="15" customHeight="1" x14ac:dyDescent="0.25">
      <c r="C631" s="160"/>
      <c r="D631" s="160"/>
      <c r="E631" s="160"/>
      <c r="F631" s="160"/>
    </row>
    <row r="632" spans="3:6" ht="15" customHeight="1" x14ac:dyDescent="0.25">
      <c r="C632" s="160"/>
      <c r="D632" s="160"/>
      <c r="E632" s="160"/>
      <c r="F632" s="160"/>
    </row>
    <row r="633" spans="3:6" ht="15" customHeight="1" x14ac:dyDescent="0.25">
      <c r="C633" s="160"/>
      <c r="D633" s="160"/>
      <c r="E633" s="160"/>
      <c r="F633" s="160"/>
    </row>
    <row r="634" spans="3:6" ht="15" customHeight="1" x14ac:dyDescent="0.25">
      <c r="C634" s="160"/>
      <c r="D634" s="160"/>
      <c r="E634" s="160"/>
      <c r="F634" s="160"/>
    </row>
    <row r="635" spans="3:6" ht="15" customHeight="1" x14ac:dyDescent="0.25">
      <c r="C635" s="160"/>
      <c r="D635" s="160"/>
      <c r="E635" s="160"/>
      <c r="F635" s="160"/>
    </row>
    <row r="636" spans="3:6" ht="15" customHeight="1" x14ac:dyDescent="0.25">
      <c r="C636" s="160"/>
      <c r="D636" s="160"/>
      <c r="E636" s="160"/>
      <c r="F636" s="160"/>
    </row>
    <row r="637" spans="3:6" ht="15" customHeight="1" x14ac:dyDescent="0.25">
      <c r="C637" s="160"/>
      <c r="D637" s="160"/>
      <c r="E637" s="160"/>
      <c r="F637" s="160"/>
    </row>
    <row r="638" spans="3:6" ht="15" customHeight="1" x14ac:dyDescent="0.25">
      <c r="C638" s="160"/>
      <c r="D638" s="160"/>
      <c r="E638" s="160"/>
      <c r="F638" s="160"/>
    </row>
    <row r="639" spans="3:6" ht="15" customHeight="1" x14ac:dyDescent="0.25">
      <c r="C639" s="160"/>
      <c r="D639" s="160"/>
      <c r="E639" s="160"/>
      <c r="F639" s="160"/>
    </row>
    <row r="640" spans="3:6" ht="15" customHeight="1" x14ac:dyDescent="0.25">
      <c r="C640" s="160"/>
      <c r="D640" s="160"/>
      <c r="E640" s="160"/>
      <c r="F640" s="160"/>
    </row>
    <row r="641" spans="3:6" ht="15" customHeight="1" x14ac:dyDescent="0.25">
      <c r="C641" s="160"/>
      <c r="D641" s="160"/>
      <c r="E641" s="160"/>
      <c r="F641" s="160"/>
    </row>
    <row r="642" spans="3:6" ht="15" customHeight="1" x14ac:dyDescent="0.25">
      <c r="C642" s="160"/>
      <c r="D642" s="160"/>
      <c r="E642" s="160"/>
      <c r="F642" s="160"/>
    </row>
    <row r="643" spans="3:6" ht="15" customHeight="1" x14ac:dyDescent="0.25">
      <c r="C643" s="160"/>
      <c r="D643" s="160"/>
      <c r="E643" s="160"/>
      <c r="F643" s="160"/>
    </row>
    <row r="644" spans="3:6" ht="15" customHeight="1" x14ac:dyDescent="0.25">
      <c r="C644" s="160"/>
      <c r="D644" s="160"/>
      <c r="E644" s="160"/>
      <c r="F644" s="160"/>
    </row>
    <row r="645" spans="3:6" ht="15" customHeight="1" x14ac:dyDescent="0.25">
      <c r="C645" s="160"/>
      <c r="D645" s="160"/>
      <c r="E645" s="160"/>
      <c r="F645" s="160"/>
    </row>
    <row r="646" spans="3:6" ht="15" customHeight="1" x14ac:dyDescent="0.25">
      <c r="C646" s="160"/>
      <c r="D646" s="160"/>
      <c r="E646" s="160"/>
      <c r="F646" s="160"/>
    </row>
    <row r="647" spans="3:6" ht="15" customHeight="1" x14ac:dyDescent="0.25">
      <c r="C647" s="160"/>
      <c r="D647" s="160"/>
      <c r="E647" s="160"/>
      <c r="F647" s="160"/>
    </row>
    <row r="648" spans="3:6" ht="15" customHeight="1" x14ac:dyDescent="0.25">
      <c r="C648" s="160"/>
      <c r="D648" s="160"/>
      <c r="E648" s="160"/>
      <c r="F648" s="160"/>
    </row>
    <row r="649" spans="3:6" ht="15" customHeight="1" x14ac:dyDescent="0.25">
      <c r="C649" s="160"/>
      <c r="D649" s="160"/>
      <c r="E649" s="160"/>
      <c r="F649" s="160"/>
    </row>
    <row r="650" spans="3:6" ht="15" customHeight="1" x14ac:dyDescent="0.25">
      <c r="C650" s="160"/>
      <c r="D650" s="160"/>
      <c r="E650" s="160"/>
      <c r="F650" s="160"/>
    </row>
    <row r="651" spans="3:6" ht="15" customHeight="1" x14ac:dyDescent="0.25">
      <c r="C651" s="160"/>
      <c r="D651" s="160"/>
      <c r="E651" s="160"/>
      <c r="F651" s="160"/>
    </row>
    <row r="652" spans="3:6" ht="15" customHeight="1" x14ac:dyDescent="0.25">
      <c r="C652" s="160"/>
      <c r="D652" s="160"/>
      <c r="E652" s="160"/>
      <c r="F652" s="160"/>
    </row>
    <row r="653" spans="3:6" ht="15" customHeight="1" x14ac:dyDescent="0.25">
      <c r="C653" s="160"/>
      <c r="D653" s="160"/>
      <c r="E653" s="160"/>
      <c r="F653" s="160"/>
    </row>
    <row r="654" spans="3:6" ht="15" customHeight="1" x14ac:dyDescent="0.25">
      <c r="C654" s="160"/>
      <c r="D654" s="160"/>
      <c r="E654" s="160"/>
      <c r="F654" s="160"/>
    </row>
    <row r="655" spans="3:6" ht="15" customHeight="1" x14ac:dyDescent="0.25">
      <c r="C655" s="160"/>
      <c r="D655" s="160"/>
      <c r="E655" s="160"/>
      <c r="F655" s="160"/>
    </row>
    <row r="656" spans="3:6" ht="15" customHeight="1" x14ac:dyDescent="0.25">
      <c r="C656" s="160"/>
      <c r="D656" s="160"/>
      <c r="E656" s="160"/>
      <c r="F656" s="160"/>
    </row>
    <row r="657" spans="3:6" ht="15" customHeight="1" x14ac:dyDescent="0.25">
      <c r="C657" s="160"/>
      <c r="D657" s="160"/>
      <c r="E657" s="160"/>
      <c r="F657" s="160"/>
    </row>
    <row r="658" spans="3:6" ht="15" customHeight="1" x14ac:dyDescent="0.25">
      <c r="C658" s="160"/>
      <c r="D658" s="160"/>
      <c r="E658" s="160"/>
      <c r="F658" s="160"/>
    </row>
    <row r="659" spans="3:6" ht="15" customHeight="1" x14ac:dyDescent="0.25">
      <c r="C659" s="160"/>
      <c r="D659" s="160"/>
      <c r="E659" s="160"/>
      <c r="F659" s="160"/>
    </row>
    <row r="660" spans="3:6" ht="15" customHeight="1" x14ac:dyDescent="0.25">
      <c r="C660" s="160"/>
      <c r="D660" s="160"/>
      <c r="E660" s="160"/>
      <c r="F660" s="160"/>
    </row>
    <row r="661" spans="3:6" ht="15" customHeight="1" x14ac:dyDescent="0.25">
      <c r="C661" s="160"/>
      <c r="D661" s="160"/>
      <c r="E661" s="160"/>
      <c r="F661" s="160"/>
    </row>
    <row r="662" spans="3:6" ht="15" customHeight="1" x14ac:dyDescent="0.25">
      <c r="C662" s="160"/>
      <c r="D662" s="160"/>
      <c r="E662" s="160"/>
      <c r="F662" s="160"/>
    </row>
    <row r="663" spans="3:6" ht="15" customHeight="1" x14ac:dyDescent="0.25">
      <c r="C663" s="160"/>
      <c r="D663" s="160"/>
      <c r="E663" s="160"/>
      <c r="F663" s="160"/>
    </row>
    <row r="664" spans="3:6" ht="15" customHeight="1" x14ac:dyDescent="0.25">
      <c r="C664" s="160"/>
      <c r="D664" s="160"/>
      <c r="E664" s="160"/>
      <c r="F664" s="160"/>
    </row>
    <row r="665" spans="3:6" ht="15" customHeight="1" x14ac:dyDescent="0.25">
      <c r="C665" s="160"/>
      <c r="D665" s="160"/>
      <c r="E665" s="160"/>
      <c r="F665" s="160"/>
    </row>
    <row r="666" spans="3:6" ht="15" customHeight="1" x14ac:dyDescent="0.25">
      <c r="C666" s="160"/>
      <c r="D666" s="160"/>
      <c r="E666" s="160"/>
      <c r="F666" s="160"/>
    </row>
    <row r="667" spans="3:6" ht="15" customHeight="1" x14ac:dyDescent="0.25">
      <c r="C667" s="160"/>
      <c r="D667" s="160"/>
      <c r="E667" s="160"/>
      <c r="F667" s="160"/>
    </row>
    <row r="668" spans="3:6" ht="15" customHeight="1" x14ac:dyDescent="0.25">
      <c r="C668" s="160"/>
      <c r="D668" s="160"/>
      <c r="E668" s="160"/>
      <c r="F668" s="160"/>
    </row>
    <row r="669" spans="3:6" ht="15" customHeight="1" x14ac:dyDescent="0.25">
      <c r="C669" s="160"/>
      <c r="D669" s="160"/>
      <c r="E669" s="160"/>
      <c r="F669" s="160"/>
    </row>
    <row r="670" spans="3:6" ht="15" customHeight="1" x14ac:dyDescent="0.25">
      <c r="C670" s="160"/>
      <c r="D670" s="160"/>
      <c r="E670" s="160"/>
      <c r="F670" s="160"/>
    </row>
    <row r="671" spans="3:6" ht="15" customHeight="1" x14ac:dyDescent="0.25">
      <c r="C671" s="160"/>
      <c r="D671" s="160"/>
      <c r="E671" s="160"/>
      <c r="F671" s="160"/>
    </row>
    <row r="672" spans="3:6" ht="15" customHeight="1" x14ac:dyDescent="0.25">
      <c r="C672" s="160"/>
      <c r="D672" s="160"/>
      <c r="E672" s="160"/>
      <c r="F672" s="160"/>
    </row>
    <row r="673" spans="3:6" ht="15" customHeight="1" x14ac:dyDescent="0.25">
      <c r="C673" s="160"/>
      <c r="D673" s="160"/>
      <c r="E673" s="160"/>
      <c r="F673" s="160"/>
    </row>
    <row r="674" spans="3:6" ht="15" customHeight="1" x14ac:dyDescent="0.25">
      <c r="C674" s="160"/>
      <c r="D674" s="160"/>
      <c r="E674" s="160"/>
      <c r="F674" s="160"/>
    </row>
    <row r="675" spans="3:6" ht="15" customHeight="1" x14ac:dyDescent="0.25">
      <c r="C675" s="160"/>
      <c r="D675" s="160"/>
      <c r="E675" s="160"/>
      <c r="F675" s="160"/>
    </row>
    <row r="676" spans="3:6" ht="15" customHeight="1" x14ac:dyDescent="0.25">
      <c r="C676" s="160"/>
      <c r="D676" s="160"/>
      <c r="E676" s="160"/>
      <c r="F676" s="160"/>
    </row>
    <row r="677" spans="3:6" ht="15" customHeight="1" x14ac:dyDescent="0.25">
      <c r="C677" s="160"/>
      <c r="D677" s="160"/>
      <c r="E677" s="160"/>
      <c r="F677" s="160"/>
    </row>
    <row r="678" spans="3:6" ht="15" customHeight="1" x14ac:dyDescent="0.25">
      <c r="C678" s="160"/>
      <c r="D678" s="160"/>
      <c r="E678" s="160"/>
      <c r="F678" s="160"/>
    </row>
    <row r="679" spans="3:6" ht="15" customHeight="1" x14ac:dyDescent="0.25">
      <c r="C679" s="160"/>
      <c r="D679" s="160"/>
      <c r="E679" s="160"/>
      <c r="F679" s="160"/>
    </row>
    <row r="680" spans="3:6" ht="15" customHeight="1" x14ac:dyDescent="0.25">
      <c r="C680" s="160"/>
      <c r="D680" s="160"/>
      <c r="E680" s="160"/>
      <c r="F680" s="160"/>
    </row>
    <row r="681" spans="3:6" ht="15" customHeight="1" x14ac:dyDescent="0.25">
      <c r="C681" s="160"/>
      <c r="D681" s="160"/>
      <c r="E681" s="160"/>
      <c r="F681" s="160"/>
    </row>
    <row r="682" spans="3:6" ht="15" customHeight="1" x14ac:dyDescent="0.25">
      <c r="C682" s="160"/>
      <c r="D682" s="160"/>
      <c r="E682" s="160"/>
      <c r="F682" s="160"/>
    </row>
    <row r="683" spans="3:6" ht="15" customHeight="1" x14ac:dyDescent="0.25">
      <c r="C683" s="160"/>
      <c r="D683" s="160"/>
      <c r="E683" s="160"/>
      <c r="F683" s="160"/>
    </row>
    <row r="684" spans="3:6" ht="15" customHeight="1" x14ac:dyDescent="0.25">
      <c r="C684" s="160"/>
      <c r="D684" s="160"/>
      <c r="E684" s="160"/>
      <c r="F684" s="160"/>
    </row>
    <row r="685" spans="3:6" ht="15" customHeight="1" x14ac:dyDescent="0.25">
      <c r="C685" s="160"/>
      <c r="D685" s="160"/>
      <c r="E685" s="160"/>
      <c r="F685" s="160"/>
    </row>
    <row r="686" spans="3:6" ht="15" customHeight="1" x14ac:dyDescent="0.25">
      <c r="C686" s="160"/>
      <c r="D686" s="160"/>
      <c r="E686" s="160"/>
      <c r="F686" s="160"/>
    </row>
    <row r="687" spans="3:6" ht="15" customHeight="1" x14ac:dyDescent="0.25">
      <c r="C687" s="160"/>
      <c r="D687" s="160"/>
      <c r="E687" s="160"/>
      <c r="F687" s="160"/>
    </row>
    <row r="688" spans="3:6" ht="15" customHeight="1" x14ac:dyDescent="0.25">
      <c r="C688" s="160"/>
      <c r="D688" s="160"/>
      <c r="E688" s="160"/>
      <c r="F688" s="160"/>
    </row>
    <row r="689" spans="3:6" ht="15" customHeight="1" x14ac:dyDescent="0.25">
      <c r="C689" s="160"/>
      <c r="D689" s="160"/>
      <c r="E689" s="160"/>
      <c r="F689" s="160"/>
    </row>
    <row r="690" spans="3:6" ht="15" customHeight="1" x14ac:dyDescent="0.25">
      <c r="C690" s="160"/>
      <c r="D690" s="160"/>
      <c r="E690" s="160"/>
      <c r="F690" s="160"/>
    </row>
    <row r="691" spans="3:6" ht="15" customHeight="1" x14ac:dyDescent="0.25">
      <c r="C691" s="160"/>
      <c r="D691" s="160"/>
      <c r="E691" s="160"/>
      <c r="F691" s="160"/>
    </row>
    <row r="692" spans="3:6" ht="15" customHeight="1" x14ac:dyDescent="0.25">
      <c r="C692" s="160"/>
      <c r="D692" s="160"/>
      <c r="E692" s="160"/>
      <c r="F692" s="160"/>
    </row>
    <row r="693" spans="3:6" ht="15" customHeight="1" x14ac:dyDescent="0.25">
      <c r="C693" s="160"/>
      <c r="D693" s="160"/>
      <c r="E693" s="160"/>
      <c r="F693" s="160"/>
    </row>
    <row r="694" spans="3:6" ht="15" customHeight="1" x14ac:dyDescent="0.25">
      <c r="C694" s="160"/>
      <c r="D694" s="160"/>
      <c r="E694" s="160"/>
      <c r="F694" s="160"/>
    </row>
    <row r="695" spans="3:6" ht="15" customHeight="1" x14ac:dyDescent="0.25">
      <c r="C695" s="160"/>
      <c r="D695" s="160"/>
      <c r="E695" s="160"/>
      <c r="F695" s="160"/>
    </row>
    <row r="696" spans="3:6" ht="15" customHeight="1" x14ac:dyDescent="0.25">
      <c r="C696" s="160"/>
      <c r="D696" s="160"/>
      <c r="E696" s="160"/>
      <c r="F696" s="160"/>
    </row>
    <row r="697" spans="3:6" ht="15" customHeight="1" x14ac:dyDescent="0.25">
      <c r="C697" s="160"/>
      <c r="D697" s="160"/>
      <c r="E697" s="160"/>
      <c r="F697" s="160"/>
    </row>
    <row r="698" spans="3:6" ht="15" customHeight="1" x14ac:dyDescent="0.25">
      <c r="C698" s="160"/>
      <c r="D698" s="160"/>
      <c r="E698" s="160"/>
      <c r="F698" s="160"/>
    </row>
    <row r="699" spans="3:6" ht="15" customHeight="1" x14ac:dyDescent="0.25">
      <c r="C699" s="160"/>
      <c r="D699" s="160"/>
      <c r="E699" s="160"/>
      <c r="F699" s="160"/>
    </row>
    <row r="700" spans="3:6" ht="15" customHeight="1" x14ac:dyDescent="0.25">
      <c r="C700" s="160"/>
      <c r="D700" s="160"/>
      <c r="E700" s="160"/>
      <c r="F700" s="160"/>
    </row>
    <row r="701" spans="3:6" ht="15" customHeight="1" x14ac:dyDescent="0.25">
      <c r="C701" s="160"/>
      <c r="D701" s="160"/>
      <c r="E701" s="160"/>
      <c r="F701" s="160"/>
    </row>
    <row r="702" spans="3:6" ht="15" customHeight="1" x14ac:dyDescent="0.25">
      <c r="C702" s="160"/>
      <c r="D702" s="160"/>
      <c r="E702" s="160"/>
      <c r="F702" s="160"/>
    </row>
    <row r="703" spans="3:6" ht="15" customHeight="1" x14ac:dyDescent="0.25">
      <c r="C703" s="160"/>
      <c r="D703" s="160"/>
      <c r="E703" s="160"/>
      <c r="F703" s="160"/>
    </row>
    <row r="704" spans="3:6" ht="15" customHeight="1" x14ac:dyDescent="0.25">
      <c r="C704" s="160"/>
      <c r="D704" s="160"/>
      <c r="E704" s="160"/>
      <c r="F704" s="160"/>
    </row>
    <row r="705" spans="3:6" ht="15" customHeight="1" x14ac:dyDescent="0.25">
      <c r="C705" s="160"/>
      <c r="D705" s="160"/>
      <c r="E705" s="160"/>
      <c r="F705" s="160"/>
    </row>
    <row r="706" spans="3:6" ht="15" customHeight="1" x14ac:dyDescent="0.25">
      <c r="C706" s="160"/>
      <c r="D706" s="160"/>
      <c r="E706" s="160"/>
      <c r="F706" s="160"/>
    </row>
    <row r="707" spans="3:6" ht="15" customHeight="1" x14ac:dyDescent="0.25">
      <c r="C707" s="160"/>
      <c r="D707" s="160"/>
      <c r="E707" s="160"/>
      <c r="F707" s="160"/>
    </row>
    <row r="708" spans="3:6" ht="15" customHeight="1" x14ac:dyDescent="0.25">
      <c r="C708" s="160"/>
      <c r="D708" s="160"/>
      <c r="E708" s="160"/>
      <c r="F708" s="160"/>
    </row>
    <row r="709" spans="3:6" ht="15" customHeight="1" x14ac:dyDescent="0.25">
      <c r="C709" s="160"/>
      <c r="D709" s="160"/>
      <c r="E709" s="160"/>
      <c r="F709" s="160"/>
    </row>
    <row r="710" spans="3:6" ht="15" customHeight="1" x14ac:dyDescent="0.25">
      <c r="C710" s="160"/>
      <c r="D710" s="160"/>
      <c r="E710" s="160"/>
      <c r="F710" s="160"/>
    </row>
    <row r="711" spans="3:6" ht="15" customHeight="1" x14ac:dyDescent="0.25">
      <c r="C711" s="160"/>
      <c r="D711" s="160"/>
      <c r="E711" s="160"/>
      <c r="F711" s="160"/>
    </row>
    <row r="712" spans="3:6" ht="15" customHeight="1" x14ac:dyDescent="0.25">
      <c r="C712" s="160"/>
      <c r="D712" s="160"/>
      <c r="E712" s="160"/>
      <c r="F712" s="160"/>
    </row>
    <row r="713" spans="3:6" ht="15" customHeight="1" x14ac:dyDescent="0.25">
      <c r="C713" s="160"/>
      <c r="D713" s="160"/>
      <c r="E713" s="160"/>
      <c r="F713" s="160"/>
    </row>
    <row r="714" spans="3:6" ht="15" customHeight="1" x14ac:dyDescent="0.25">
      <c r="C714" s="160"/>
      <c r="D714" s="160"/>
      <c r="E714" s="160"/>
      <c r="F714" s="160"/>
    </row>
    <row r="715" spans="3:6" ht="15" customHeight="1" x14ac:dyDescent="0.25">
      <c r="C715" s="160"/>
      <c r="D715" s="160"/>
      <c r="E715" s="160"/>
      <c r="F715" s="160"/>
    </row>
    <row r="716" spans="3:6" ht="15" customHeight="1" x14ac:dyDescent="0.25">
      <c r="C716" s="160"/>
      <c r="D716" s="160"/>
      <c r="E716" s="160"/>
      <c r="F716" s="160"/>
    </row>
    <row r="717" spans="3:6" ht="15" customHeight="1" x14ac:dyDescent="0.25">
      <c r="C717" s="160"/>
      <c r="D717" s="160"/>
      <c r="E717" s="160"/>
      <c r="F717" s="160"/>
    </row>
    <row r="718" spans="3:6" ht="15" customHeight="1" x14ac:dyDescent="0.25">
      <c r="C718" s="160"/>
      <c r="D718" s="160"/>
      <c r="E718" s="160"/>
      <c r="F718" s="160"/>
    </row>
    <row r="719" spans="3:6" ht="15" customHeight="1" x14ac:dyDescent="0.25">
      <c r="C719" s="160"/>
      <c r="D719" s="160"/>
      <c r="E719" s="160"/>
      <c r="F719" s="160"/>
    </row>
    <row r="720" spans="3:6" ht="15" customHeight="1" x14ac:dyDescent="0.25">
      <c r="C720" s="160"/>
      <c r="D720" s="160"/>
      <c r="E720" s="160"/>
      <c r="F720" s="160"/>
    </row>
    <row r="721" spans="3:6" ht="15" customHeight="1" x14ac:dyDescent="0.25">
      <c r="C721" s="160"/>
      <c r="D721" s="160"/>
      <c r="E721" s="160"/>
      <c r="F721" s="160"/>
    </row>
    <row r="722" spans="3:6" ht="15" customHeight="1" x14ac:dyDescent="0.25">
      <c r="C722" s="160"/>
      <c r="D722" s="160"/>
      <c r="E722" s="160"/>
      <c r="F722" s="160"/>
    </row>
    <row r="723" spans="3:6" ht="15" customHeight="1" x14ac:dyDescent="0.25">
      <c r="C723" s="160"/>
      <c r="D723" s="160"/>
      <c r="E723" s="160"/>
      <c r="F723" s="160"/>
    </row>
    <row r="724" spans="3:6" ht="15" customHeight="1" x14ac:dyDescent="0.25">
      <c r="C724" s="160"/>
      <c r="D724" s="160"/>
      <c r="E724" s="160"/>
      <c r="F724" s="160"/>
    </row>
    <row r="725" spans="3:6" ht="15" customHeight="1" x14ac:dyDescent="0.25">
      <c r="C725" s="160"/>
      <c r="D725" s="160"/>
      <c r="E725" s="160"/>
      <c r="F725" s="160"/>
    </row>
    <row r="726" spans="3:6" ht="15" customHeight="1" x14ac:dyDescent="0.25">
      <c r="C726" s="160"/>
      <c r="D726" s="160"/>
      <c r="E726" s="160"/>
      <c r="F726" s="160"/>
    </row>
    <row r="727" spans="3:6" ht="15" customHeight="1" x14ac:dyDescent="0.25">
      <c r="C727" s="160"/>
      <c r="D727" s="160"/>
      <c r="E727" s="160"/>
      <c r="F727" s="160"/>
    </row>
    <row r="728" spans="3:6" ht="15" customHeight="1" x14ac:dyDescent="0.25">
      <c r="C728" s="160"/>
      <c r="D728" s="160"/>
      <c r="E728" s="160"/>
      <c r="F728" s="160"/>
    </row>
    <row r="729" spans="3:6" ht="15" customHeight="1" x14ac:dyDescent="0.25">
      <c r="C729" s="160"/>
      <c r="D729" s="160"/>
      <c r="E729" s="160"/>
      <c r="F729" s="160"/>
    </row>
    <row r="730" spans="3:6" ht="15" customHeight="1" x14ac:dyDescent="0.25">
      <c r="C730" s="160"/>
      <c r="D730" s="160"/>
      <c r="E730" s="160"/>
      <c r="F730" s="160"/>
    </row>
    <row r="731" spans="3:6" ht="15" customHeight="1" x14ac:dyDescent="0.25">
      <c r="C731" s="160"/>
      <c r="D731" s="160"/>
      <c r="E731" s="160"/>
      <c r="F731" s="160"/>
    </row>
    <row r="732" spans="3:6" ht="15" customHeight="1" x14ac:dyDescent="0.25">
      <c r="C732" s="160"/>
      <c r="D732" s="160"/>
      <c r="E732" s="160"/>
      <c r="F732" s="160"/>
    </row>
    <row r="733" spans="3:6" ht="15" customHeight="1" x14ac:dyDescent="0.25">
      <c r="C733" s="160"/>
      <c r="D733" s="160"/>
      <c r="E733" s="160"/>
      <c r="F733" s="160"/>
    </row>
    <row r="734" spans="3:6" ht="15" customHeight="1" x14ac:dyDescent="0.25">
      <c r="C734" s="160"/>
      <c r="D734" s="160"/>
      <c r="E734" s="160"/>
      <c r="F734" s="160"/>
    </row>
    <row r="735" spans="3:6" ht="15" customHeight="1" x14ac:dyDescent="0.25">
      <c r="C735" s="160"/>
      <c r="D735" s="160"/>
      <c r="E735" s="160"/>
      <c r="F735" s="160"/>
    </row>
    <row r="736" spans="3:6" ht="15" customHeight="1" x14ac:dyDescent="0.25">
      <c r="C736" s="160"/>
      <c r="D736" s="160"/>
      <c r="E736" s="160"/>
      <c r="F736" s="160"/>
    </row>
    <row r="737" spans="3:6" ht="15" customHeight="1" x14ac:dyDescent="0.25">
      <c r="C737" s="160"/>
      <c r="D737" s="160"/>
      <c r="E737" s="160"/>
      <c r="F737" s="160"/>
    </row>
    <row r="738" spans="3:6" ht="15" customHeight="1" x14ac:dyDescent="0.25">
      <c r="C738" s="160"/>
      <c r="D738" s="160"/>
      <c r="E738" s="160"/>
      <c r="F738" s="160"/>
    </row>
    <row r="739" spans="3:6" ht="15" customHeight="1" x14ac:dyDescent="0.25">
      <c r="C739" s="160"/>
      <c r="D739" s="160"/>
      <c r="E739" s="160"/>
      <c r="F739" s="160"/>
    </row>
    <row r="740" spans="3:6" ht="15" customHeight="1" x14ac:dyDescent="0.25">
      <c r="C740" s="160"/>
      <c r="D740" s="160"/>
      <c r="E740" s="160"/>
      <c r="F740" s="160"/>
    </row>
    <row r="741" spans="3:6" ht="15" customHeight="1" x14ac:dyDescent="0.25">
      <c r="C741" s="160"/>
      <c r="D741" s="160"/>
      <c r="E741" s="160"/>
      <c r="F741" s="160"/>
    </row>
    <row r="742" spans="3:6" ht="15" customHeight="1" x14ac:dyDescent="0.25">
      <c r="C742" s="160"/>
      <c r="D742" s="160"/>
      <c r="E742" s="160"/>
      <c r="F742" s="160"/>
    </row>
    <row r="743" spans="3:6" ht="15" customHeight="1" x14ac:dyDescent="0.25">
      <c r="C743" s="160"/>
      <c r="D743" s="160"/>
      <c r="E743" s="160"/>
      <c r="F743" s="160"/>
    </row>
    <row r="744" spans="3:6" ht="15" customHeight="1" x14ac:dyDescent="0.25">
      <c r="C744" s="160"/>
      <c r="D744" s="160"/>
      <c r="E744" s="160"/>
      <c r="F744" s="160"/>
    </row>
    <row r="745" spans="3:6" ht="15" customHeight="1" x14ac:dyDescent="0.25">
      <c r="C745" s="160"/>
      <c r="D745" s="160"/>
      <c r="E745" s="160"/>
      <c r="F745" s="160"/>
    </row>
    <row r="746" spans="3:6" ht="15" customHeight="1" x14ac:dyDescent="0.25">
      <c r="C746" s="160"/>
      <c r="D746" s="160"/>
      <c r="E746" s="160"/>
      <c r="F746" s="160"/>
    </row>
    <row r="747" spans="3:6" ht="15" customHeight="1" x14ac:dyDescent="0.25">
      <c r="C747" s="160"/>
      <c r="D747" s="160"/>
      <c r="E747" s="160"/>
      <c r="F747" s="160"/>
    </row>
    <row r="748" spans="3:6" ht="15" customHeight="1" x14ac:dyDescent="0.25">
      <c r="C748" s="160"/>
      <c r="D748" s="160"/>
      <c r="E748" s="160"/>
      <c r="F748" s="160"/>
    </row>
    <row r="749" spans="3:6" ht="15" customHeight="1" x14ac:dyDescent="0.25">
      <c r="C749" s="160"/>
      <c r="D749" s="160"/>
      <c r="E749" s="160"/>
      <c r="F749" s="160"/>
    </row>
    <row r="750" spans="3:6" ht="15" customHeight="1" x14ac:dyDescent="0.25">
      <c r="C750" s="160"/>
      <c r="D750" s="160"/>
      <c r="E750" s="160"/>
      <c r="F750" s="160"/>
    </row>
    <row r="751" spans="3:6" ht="15" customHeight="1" x14ac:dyDescent="0.25">
      <c r="C751" s="160"/>
      <c r="D751" s="160"/>
      <c r="E751" s="160"/>
      <c r="F751" s="160"/>
    </row>
    <row r="752" spans="3:6" ht="15" customHeight="1" x14ac:dyDescent="0.25">
      <c r="C752" s="160"/>
      <c r="D752" s="160"/>
      <c r="E752" s="160"/>
      <c r="F752" s="160"/>
    </row>
    <row r="753" spans="3:6" ht="15" customHeight="1" x14ac:dyDescent="0.25">
      <c r="C753" s="160"/>
      <c r="D753" s="160"/>
      <c r="E753" s="160"/>
      <c r="F753" s="160"/>
    </row>
    <row r="754" spans="3:6" ht="15" customHeight="1" x14ac:dyDescent="0.25">
      <c r="C754" s="160"/>
      <c r="D754" s="160"/>
      <c r="E754" s="160"/>
      <c r="F754" s="160"/>
    </row>
    <row r="755" spans="3:6" ht="15" customHeight="1" x14ac:dyDescent="0.25">
      <c r="C755" s="160"/>
      <c r="D755" s="160"/>
      <c r="E755" s="160"/>
      <c r="F755" s="160"/>
    </row>
    <row r="756" spans="3:6" ht="15" customHeight="1" x14ac:dyDescent="0.25">
      <c r="C756" s="160"/>
      <c r="D756" s="160"/>
      <c r="E756" s="160"/>
      <c r="F756" s="160"/>
    </row>
    <row r="757" spans="3:6" ht="15" customHeight="1" x14ac:dyDescent="0.25">
      <c r="C757" s="160"/>
      <c r="D757" s="160"/>
      <c r="E757" s="160"/>
      <c r="F757" s="160"/>
    </row>
    <row r="758" spans="3:6" ht="15" customHeight="1" x14ac:dyDescent="0.25">
      <c r="C758" s="160"/>
      <c r="D758" s="160"/>
      <c r="E758" s="160"/>
      <c r="F758" s="160"/>
    </row>
    <row r="759" spans="3:6" ht="15" customHeight="1" x14ac:dyDescent="0.25">
      <c r="C759" s="160"/>
      <c r="D759" s="160"/>
      <c r="E759" s="160"/>
      <c r="F759" s="160"/>
    </row>
    <row r="760" spans="3:6" ht="15" customHeight="1" x14ac:dyDescent="0.25">
      <c r="C760" s="160"/>
      <c r="D760" s="160"/>
      <c r="E760" s="160"/>
      <c r="F760" s="160"/>
    </row>
    <row r="761" spans="3:6" ht="15" customHeight="1" x14ac:dyDescent="0.25">
      <c r="C761" s="160"/>
      <c r="D761" s="160"/>
      <c r="E761" s="160"/>
      <c r="F761" s="160"/>
    </row>
    <row r="762" spans="3:6" ht="15" customHeight="1" x14ac:dyDescent="0.25">
      <c r="C762" s="160"/>
      <c r="D762" s="160"/>
      <c r="E762" s="160"/>
      <c r="F762" s="160"/>
    </row>
    <row r="763" spans="3:6" ht="15" customHeight="1" x14ac:dyDescent="0.25">
      <c r="C763" s="160"/>
      <c r="D763" s="160"/>
      <c r="E763" s="160"/>
      <c r="F763" s="160"/>
    </row>
    <row r="764" spans="3:6" ht="15" customHeight="1" x14ac:dyDescent="0.25">
      <c r="C764" s="160"/>
      <c r="D764" s="160"/>
      <c r="E764" s="160"/>
      <c r="F764" s="160"/>
    </row>
    <row r="765" spans="3:6" ht="15" customHeight="1" x14ac:dyDescent="0.25">
      <c r="C765" s="160"/>
      <c r="D765" s="160"/>
      <c r="E765" s="160"/>
      <c r="F765" s="160"/>
    </row>
    <row r="766" spans="3:6" ht="15" customHeight="1" x14ac:dyDescent="0.25">
      <c r="C766" s="160"/>
      <c r="D766" s="160"/>
      <c r="E766" s="160"/>
      <c r="F766" s="160"/>
    </row>
    <row r="767" spans="3:6" ht="15" customHeight="1" x14ac:dyDescent="0.25">
      <c r="C767" s="160"/>
      <c r="D767" s="160"/>
      <c r="E767" s="160"/>
      <c r="F767" s="160"/>
    </row>
    <row r="768" spans="3:6" ht="15" customHeight="1" x14ac:dyDescent="0.25">
      <c r="C768" s="160"/>
      <c r="D768" s="160"/>
      <c r="E768" s="160"/>
      <c r="F768" s="160"/>
    </row>
    <row r="769" spans="3:6" ht="15" customHeight="1" x14ac:dyDescent="0.25">
      <c r="C769" s="160"/>
      <c r="D769" s="160"/>
      <c r="E769" s="160"/>
      <c r="F769" s="160"/>
    </row>
    <row r="770" spans="3:6" ht="15" customHeight="1" x14ac:dyDescent="0.25">
      <c r="C770" s="160"/>
      <c r="D770" s="160"/>
      <c r="E770" s="160"/>
      <c r="F770" s="160"/>
    </row>
    <row r="771" spans="3:6" ht="15" customHeight="1" x14ac:dyDescent="0.25">
      <c r="C771" s="160"/>
      <c r="D771" s="160"/>
      <c r="E771" s="160"/>
      <c r="F771" s="160"/>
    </row>
    <row r="772" spans="3:6" ht="15" customHeight="1" x14ac:dyDescent="0.25">
      <c r="C772" s="160"/>
      <c r="D772" s="160"/>
      <c r="E772" s="160"/>
      <c r="F772" s="160"/>
    </row>
    <row r="773" spans="3:6" ht="15" customHeight="1" x14ac:dyDescent="0.25">
      <c r="C773" s="160"/>
      <c r="D773" s="160"/>
      <c r="E773" s="160"/>
      <c r="F773" s="160"/>
    </row>
    <row r="774" spans="3:6" ht="15" customHeight="1" x14ac:dyDescent="0.25">
      <c r="C774" s="160"/>
      <c r="D774" s="160"/>
      <c r="E774" s="160"/>
      <c r="F774" s="160"/>
    </row>
    <row r="775" spans="3:6" ht="15" customHeight="1" x14ac:dyDescent="0.25">
      <c r="C775" s="160"/>
      <c r="D775" s="160"/>
      <c r="E775" s="160"/>
      <c r="F775" s="160"/>
    </row>
    <row r="776" spans="3:6" ht="15" customHeight="1" x14ac:dyDescent="0.25">
      <c r="C776" s="160"/>
      <c r="D776" s="160"/>
      <c r="E776" s="160"/>
      <c r="F776" s="160"/>
    </row>
    <row r="777" spans="3:6" ht="15" customHeight="1" x14ac:dyDescent="0.25">
      <c r="C777" s="160"/>
      <c r="D777" s="160"/>
      <c r="E777" s="160"/>
      <c r="F777" s="160"/>
    </row>
    <row r="778" spans="3:6" ht="15" customHeight="1" x14ac:dyDescent="0.25">
      <c r="C778" s="160"/>
      <c r="D778" s="160"/>
      <c r="E778" s="160"/>
      <c r="F778" s="160"/>
    </row>
    <row r="779" spans="3:6" ht="15" customHeight="1" x14ac:dyDescent="0.25">
      <c r="C779" s="160"/>
      <c r="D779" s="160"/>
      <c r="E779" s="160"/>
      <c r="F779" s="160"/>
    </row>
    <row r="780" spans="3:6" ht="15" customHeight="1" x14ac:dyDescent="0.25">
      <c r="C780" s="160"/>
      <c r="D780" s="160"/>
      <c r="E780" s="160"/>
      <c r="F780" s="160"/>
    </row>
    <row r="781" spans="3:6" ht="15" customHeight="1" x14ac:dyDescent="0.25">
      <c r="C781" s="160"/>
      <c r="D781" s="160"/>
      <c r="E781" s="160"/>
      <c r="F781" s="160"/>
    </row>
    <row r="782" spans="3:6" ht="15" customHeight="1" x14ac:dyDescent="0.25">
      <c r="C782" s="160"/>
      <c r="D782" s="160"/>
      <c r="E782" s="160"/>
      <c r="F782" s="160"/>
    </row>
    <row r="783" spans="3:6" ht="15" customHeight="1" x14ac:dyDescent="0.25">
      <c r="C783" s="160"/>
      <c r="D783" s="160"/>
      <c r="E783" s="160"/>
      <c r="F783" s="160"/>
    </row>
    <row r="784" spans="3:6" ht="15" customHeight="1" x14ac:dyDescent="0.25">
      <c r="C784" s="160"/>
      <c r="D784" s="160"/>
      <c r="E784" s="160"/>
      <c r="F784" s="160"/>
    </row>
    <row r="785" spans="3:6" ht="15" customHeight="1" x14ac:dyDescent="0.25">
      <c r="C785" s="160"/>
      <c r="D785" s="160"/>
      <c r="E785" s="160"/>
      <c r="F785" s="160"/>
    </row>
    <row r="786" spans="3:6" ht="15" customHeight="1" x14ac:dyDescent="0.25">
      <c r="C786" s="160"/>
      <c r="D786" s="160"/>
      <c r="E786" s="160"/>
      <c r="F786" s="160"/>
    </row>
    <row r="787" spans="3:6" ht="15" customHeight="1" x14ac:dyDescent="0.25">
      <c r="C787" s="160"/>
      <c r="D787" s="160"/>
      <c r="E787" s="160"/>
      <c r="F787" s="160"/>
    </row>
    <row r="788" spans="3:6" ht="15" customHeight="1" x14ac:dyDescent="0.25">
      <c r="C788" s="160"/>
      <c r="D788" s="160"/>
      <c r="E788" s="160"/>
      <c r="F788" s="160"/>
    </row>
    <row r="789" spans="3:6" ht="15" customHeight="1" x14ac:dyDescent="0.25">
      <c r="C789" s="160"/>
      <c r="D789" s="160"/>
      <c r="E789" s="160"/>
      <c r="F789" s="160"/>
    </row>
    <row r="790" spans="3:6" ht="15" customHeight="1" x14ac:dyDescent="0.25">
      <c r="C790" s="160"/>
      <c r="D790" s="160"/>
      <c r="E790" s="160"/>
      <c r="F790" s="160"/>
    </row>
    <row r="791" spans="3:6" ht="15" customHeight="1" x14ac:dyDescent="0.25">
      <c r="C791" s="160"/>
      <c r="D791" s="160"/>
      <c r="E791" s="160"/>
      <c r="F791" s="160"/>
    </row>
    <row r="792" spans="3:6" ht="15" customHeight="1" x14ac:dyDescent="0.25">
      <c r="C792" s="160"/>
      <c r="D792" s="160"/>
      <c r="E792" s="160"/>
      <c r="F792" s="160"/>
    </row>
    <row r="793" spans="3:6" ht="15" customHeight="1" x14ac:dyDescent="0.25">
      <c r="C793" s="160"/>
      <c r="D793" s="160"/>
      <c r="E793" s="160"/>
      <c r="F793" s="160"/>
    </row>
    <row r="794" spans="3:6" ht="15" customHeight="1" x14ac:dyDescent="0.25">
      <c r="C794" s="160"/>
      <c r="D794" s="160"/>
      <c r="E794" s="160"/>
      <c r="F794" s="160"/>
    </row>
    <row r="795" spans="3:6" ht="15" customHeight="1" x14ac:dyDescent="0.25">
      <c r="C795" s="160"/>
      <c r="D795" s="160"/>
      <c r="E795" s="160"/>
      <c r="F795" s="160"/>
    </row>
    <row r="796" spans="3:6" ht="15" customHeight="1" x14ac:dyDescent="0.25">
      <c r="C796" s="160"/>
      <c r="D796" s="160"/>
      <c r="E796" s="160"/>
      <c r="F796" s="160"/>
    </row>
    <row r="797" spans="3:6" ht="15" customHeight="1" x14ac:dyDescent="0.25">
      <c r="C797" s="160"/>
      <c r="D797" s="160"/>
      <c r="E797" s="160"/>
      <c r="F797" s="160"/>
    </row>
    <row r="798" spans="3:6" ht="15" customHeight="1" x14ac:dyDescent="0.25">
      <c r="C798" s="160"/>
      <c r="D798" s="160"/>
      <c r="E798" s="160"/>
      <c r="F798" s="160"/>
    </row>
    <row r="799" spans="3:6" ht="15" customHeight="1" x14ac:dyDescent="0.25">
      <c r="C799" s="160"/>
      <c r="D799" s="160"/>
      <c r="E799" s="160"/>
      <c r="F799" s="160"/>
    </row>
    <row r="800" spans="3:6" ht="15" customHeight="1" x14ac:dyDescent="0.25">
      <c r="C800" s="160"/>
      <c r="D800" s="160"/>
      <c r="E800" s="160"/>
      <c r="F800" s="160"/>
    </row>
    <row r="801" spans="3:6" ht="15" customHeight="1" x14ac:dyDescent="0.25">
      <c r="C801" s="160"/>
      <c r="D801" s="160"/>
      <c r="E801" s="160"/>
      <c r="F801" s="160"/>
    </row>
    <row r="802" spans="3:6" ht="15" customHeight="1" x14ac:dyDescent="0.25">
      <c r="C802" s="160"/>
      <c r="D802" s="160"/>
      <c r="E802" s="160"/>
      <c r="F802" s="160"/>
    </row>
    <row r="803" spans="3:6" ht="15" customHeight="1" x14ac:dyDescent="0.25">
      <c r="C803" s="160"/>
      <c r="D803" s="160"/>
      <c r="E803" s="160"/>
      <c r="F803" s="160"/>
    </row>
    <row r="804" spans="3:6" ht="15" customHeight="1" x14ac:dyDescent="0.25">
      <c r="C804" s="160"/>
      <c r="D804" s="160"/>
      <c r="E804" s="160"/>
      <c r="F804" s="160"/>
    </row>
    <row r="805" spans="3:6" ht="15" customHeight="1" x14ac:dyDescent="0.25">
      <c r="C805" s="160"/>
      <c r="D805" s="160"/>
      <c r="E805" s="160"/>
      <c r="F805" s="160"/>
    </row>
    <row r="806" spans="3:6" ht="15" customHeight="1" x14ac:dyDescent="0.25">
      <c r="C806" s="160"/>
      <c r="D806" s="160"/>
      <c r="E806" s="160"/>
      <c r="F806" s="160"/>
    </row>
    <row r="807" spans="3:6" ht="15" customHeight="1" x14ac:dyDescent="0.25">
      <c r="C807" s="160"/>
      <c r="D807" s="160"/>
      <c r="E807" s="160"/>
      <c r="F807" s="160"/>
    </row>
    <row r="808" spans="3:6" ht="15" customHeight="1" x14ac:dyDescent="0.25">
      <c r="C808" s="160"/>
      <c r="D808" s="160"/>
      <c r="E808" s="160"/>
      <c r="F808" s="160"/>
    </row>
    <row r="809" spans="3:6" ht="15" customHeight="1" x14ac:dyDescent="0.25">
      <c r="C809" s="160"/>
      <c r="D809" s="160"/>
      <c r="E809" s="160"/>
      <c r="F809" s="160"/>
    </row>
    <row r="810" spans="3:6" ht="15" customHeight="1" x14ac:dyDescent="0.25">
      <c r="C810" s="160"/>
      <c r="D810" s="160"/>
      <c r="E810" s="160"/>
      <c r="F810" s="160"/>
    </row>
    <row r="811" spans="3:6" ht="15" customHeight="1" x14ac:dyDescent="0.25">
      <c r="C811" s="160"/>
      <c r="D811" s="160"/>
      <c r="E811" s="160"/>
      <c r="F811" s="160"/>
    </row>
    <row r="812" spans="3:6" ht="15" customHeight="1" x14ac:dyDescent="0.25">
      <c r="C812" s="160"/>
      <c r="D812" s="160"/>
      <c r="E812" s="160"/>
      <c r="F812" s="160"/>
    </row>
    <row r="813" spans="3:6" ht="15" customHeight="1" x14ac:dyDescent="0.25">
      <c r="C813" s="160"/>
      <c r="D813" s="160"/>
      <c r="E813" s="160"/>
      <c r="F813" s="160"/>
    </row>
    <row r="814" spans="3:6" ht="15" customHeight="1" x14ac:dyDescent="0.25">
      <c r="C814" s="160"/>
      <c r="D814" s="160"/>
      <c r="E814" s="160"/>
      <c r="F814" s="160"/>
    </row>
    <row r="815" spans="3:6" ht="15" customHeight="1" x14ac:dyDescent="0.25">
      <c r="C815" s="160"/>
      <c r="D815" s="160"/>
      <c r="E815" s="160"/>
      <c r="F815" s="160"/>
    </row>
    <row r="816" spans="3:6" ht="15" customHeight="1" x14ac:dyDescent="0.25">
      <c r="C816" s="160"/>
      <c r="D816" s="160"/>
      <c r="E816" s="160"/>
      <c r="F816" s="160"/>
    </row>
    <row r="817" spans="3:6" ht="15" customHeight="1" x14ac:dyDescent="0.25">
      <c r="C817" s="160"/>
      <c r="D817" s="160"/>
      <c r="E817" s="160"/>
      <c r="F817" s="160"/>
    </row>
    <row r="818" spans="3:6" ht="15" customHeight="1" x14ac:dyDescent="0.25">
      <c r="C818" s="160"/>
      <c r="D818" s="160"/>
      <c r="E818" s="160"/>
      <c r="F818" s="160"/>
    </row>
    <row r="819" spans="3:6" ht="15" customHeight="1" x14ac:dyDescent="0.25">
      <c r="C819" s="160"/>
      <c r="D819" s="160"/>
      <c r="E819" s="160"/>
      <c r="F819" s="160"/>
    </row>
    <row r="820" spans="3:6" ht="15" customHeight="1" x14ac:dyDescent="0.25">
      <c r="C820" s="160"/>
      <c r="D820" s="160"/>
      <c r="E820" s="160"/>
      <c r="F820" s="160"/>
    </row>
    <row r="821" spans="3:6" ht="15" customHeight="1" x14ac:dyDescent="0.25">
      <c r="C821" s="160"/>
      <c r="D821" s="160"/>
      <c r="E821" s="160"/>
      <c r="F821" s="160"/>
    </row>
    <row r="822" spans="3:6" ht="15" customHeight="1" x14ac:dyDescent="0.25">
      <c r="C822" s="160"/>
      <c r="D822" s="160"/>
      <c r="E822" s="160"/>
      <c r="F822" s="160"/>
    </row>
    <row r="823" spans="3:6" ht="15" customHeight="1" x14ac:dyDescent="0.25">
      <c r="C823" s="160"/>
      <c r="D823" s="160"/>
      <c r="E823" s="160"/>
      <c r="F823" s="160"/>
    </row>
    <row r="824" spans="3:6" ht="15" customHeight="1" x14ac:dyDescent="0.25">
      <c r="C824" s="160"/>
      <c r="D824" s="160"/>
      <c r="E824" s="160"/>
      <c r="F824" s="160"/>
    </row>
    <row r="825" spans="3:6" ht="15" customHeight="1" x14ac:dyDescent="0.25">
      <c r="C825" s="160"/>
      <c r="D825" s="160"/>
      <c r="E825" s="160"/>
      <c r="F825" s="160"/>
    </row>
    <row r="826" spans="3:6" ht="15" customHeight="1" x14ac:dyDescent="0.25">
      <c r="C826" s="160"/>
      <c r="D826" s="160"/>
      <c r="E826" s="160"/>
      <c r="F826" s="160"/>
    </row>
    <row r="827" spans="3:6" ht="15" customHeight="1" x14ac:dyDescent="0.25">
      <c r="C827" s="160"/>
      <c r="D827" s="160"/>
      <c r="E827" s="160"/>
      <c r="F827" s="160"/>
    </row>
    <row r="828" spans="3:6" ht="15" customHeight="1" x14ac:dyDescent="0.25">
      <c r="C828" s="160"/>
      <c r="D828" s="160"/>
      <c r="E828" s="160"/>
      <c r="F828" s="160"/>
    </row>
    <row r="829" spans="3:6" ht="15" customHeight="1" x14ac:dyDescent="0.25">
      <c r="C829" s="160"/>
      <c r="D829" s="160"/>
      <c r="E829" s="160"/>
      <c r="F829" s="160"/>
    </row>
    <row r="830" spans="3:6" ht="15" customHeight="1" x14ac:dyDescent="0.25">
      <c r="C830" s="160"/>
      <c r="D830" s="160"/>
      <c r="E830" s="160"/>
      <c r="F830" s="160"/>
    </row>
    <row r="831" spans="3:6" ht="15" customHeight="1" x14ac:dyDescent="0.25">
      <c r="C831" s="160"/>
      <c r="D831" s="160"/>
      <c r="E831" s="160"/>
      <c r="F831" s="160"/>
    </row>
    <row r="832" spans="3:6" ht="15" customHeight="1" x14ac:dyDescent="0.25">
      <c r="C832" s="160"/>
      <c r="D832" s="160"/>
      <c r="E832" s="160"/>
      <c r="F832" s="160"/>
    </row>
    <row r="833" spans="3:6" ht="15" customHeight="1" x14ac:dyDescent="0.25">
      <c r="C833" s="160"/>
      <c r="D833" s="160"/>
      <c r="E833" s="160"/>
      <c r="F833" s="160"/>
    </row>
    <row r="834" spans="3:6" ht="15" customHeight="1" x14ac:dyDescent="0.25">
      <c r="C834" s="160"/>
      <c r="D834" s="160"/>
      <c r="E834" s="160"/>
      <c r="F834" s="160"/>
    </row>
    <row r="835" spans="3:6" ht="15" customHeight="1" x14ac:dyDescent="0.25">
      <c r="C835" s="160"/>
      <c r="D835" s="160"/>
      <c r="E835" s="160"/>
      <c r="F835" s="160"/>
    </row>
    <row r="836" spans="3:6" ht="15" customHeight="1" x14ac:dyDescent="0.25">
      <c r="C836" s="160"/>
      <c r="D836" s="160"/>
      <c r="E836" s="160"/>
      <c r="F836" s="160"/>
    </row>
    <row r="837" spans="3:6" ht="15" customHeight="1" x14ac:dyDescent="0.25">
      <c r="C837" s="160"/>
      <c r="D837" s="160"/>
      <c r="E837" s="160"/>
      <c r="F837" s="160"/>
    </row>
    <row r="838" spans="3:6" ht="15" customHeight="1" x14ac:dyDescent="0.25">
      <c r="C838" s="160"/>
      <c r="D838" s="160"/>
      <c r="E838" s="160"/>
      <c r="F838" s="160"/>
    </row>
    <row r="839" spans="3:6" ht="15" customHeight="1" x14ac:dyDescent="0.25">
      <c r="C839" s="160"/>
      <c r="D839" s="160"/>
      <c r="E839" s="160"/>
      <c r="F839" s="160"/>
    </row>
    <row r="840" spans="3:6" ht="15" customHeight="1" x14ac:dyDescent="0.25">
      <c r="C840" s="160"/>
      <c r="D840" s="160"/>
      <c r="E840" s="160"/>
      <c r="F840" s="160"/>
    </row>
    <row r="841" spans="3:6" ht="15" customHeight="1" x14ac:dyDescent="0.25">
      <c r="C841" s="160"/>
      <c r="D841" s="160"/>
      <c r="E841" s="160"/>
      <c r="F841" s="160"/>
    </row>
    <row r="842" spans="3:6" ht="15" customHeight="1" x14ac:dyDescent="0.25">
      <c r="C842" s="160"/>
      <c r="D842" s="160"/>
      <c r="E842" s="160"/>
      <c r="F842" s="160"/>
    </row>
    <row r="843" spans="3:6" ht="15" customHeight="1" x14ac:dyDescent="0.25">
      <c r="C843" s="160"/>
      <c r="D843" s="160"/>
      <c r="E843" s="160"/>
      <c r="F843" s="160"/>
    </row>
    <row r="844" spans="3:6" ht="15" customHeight="1" x14ac:dyDescent="0.25">
      <c r="C844" s="160"/>
      <c r="D844" s="160"/>
      <c r="E844" s="160"/>
      <c r="F844" s="160"/>
    </row>
    <row r="845" spans="3:6" ht="15" customHeight="1" x14ac:dyDescent="0.25">
      <c r="C845" s="160"/>
      <c r="D845" s="160"/>
      <c r="E845" s="160"/>
      <c r="F845" s="160"/>
    </row>
    <row r="846" spans="3:6" ht="15" customHeight="1" x14ac:dyDescent="0.25">
      <c r="C846" s="160"/>
      <c r="D846" s="160"/>
      <c r="E846" s="160"/>
      <c r="F846" s="160"/>
    </row>
    <row r="847" spans="3:6" ht="15" customHeight="1" x14ac:dyDescent="0.25">
      <c r="C847" s="160"/>
      <c r="D847" s="160"/>
      <c r="E847" s="160"/>
      <c r="F847" s="160"/>
    </row>
    <row r="848" spans="3:6" ht="15" customHeight="1" x14ac:dyDescent="0.25">
      <c r="C848" s="160"/>
      <c r="D848" s="160"/>
      <c r="E848" s="160"/>
      <c r="F848" s="160"/>
    </row>
    <row r="849" spans="3:6" ht="15" customHeight="1" x14ac:dyDescent="0.25">
      <c r="C849" s="160"/>
      <c r="D849" s="160"/>
      <c r="E849" s="160"/>
      <c r="F849" s="160"/>
    </row>
    <row r="850" spans="3:6" ht="15" customHeight="1" x14ac:dyDescent="0.25">
      <c r="C850" s="160"/>
      <c r="D850" s="160"/>
      <c r="E850" s="160"/>
      <c r="F850" s="160"/>
    </row>
    <row r="851" spans="3:6" ht="15" customHeight="1" x14ac:dyDescent="0.25">
      <c r="C851" s="160"/>
      <c r="D851" s="160"/>
      <c r="E851" s="160"/>
      <c r="F851" s="160"/>
    </row>
    <row r="852" spans="3:6" ht="15" customHeight="1" x14ac:dyDescent="0.25">
      <c r="C852" s="160"/>
      <c r="D852" s="160"/>
      <c r="E852" s="160"/>
      <c r="F852" s="160"/>
    </row>
    <row r="853" spans="3:6" ht="15" customHeight="1" x14ac:dyDescent="0.25">
      <c r="C853" s="160"/>
      <c r="D853" s="160"/>
      <c r="E853" s="160"/>
      <c r="F853" s="160"/>
    </row>
    <row r="854" spans="3:6" ht="15" customHeight="1" x14ac:dyDescent="0.25">
      <c r="C854" s="160"/>
      <c r="D854" s="160"/>
      <c r="E854" s="160"/>
      <c r="F854" s="160"/>
    </row>
    <row r="855" spans="3:6" ht="15" customHeight="1" x14ac:dyDescent="0.25">
      <c r="C855" s="160"/>
      <c r="D855" s="160"/>
      <c r="E855" s="160"/>
      <c r="F855" s="160"/>
    </row>
    <row r="856" spans="3:6" ht="15" customHeight="1" x14ac:dyDescent="0.25">
      <c r="C856" s="160"/>
      <c r="D856" s="160"/>
      <c r="E856" s="160"/>
      <c r="F856" s="160"/>
    </row>
    <row r="857" spans="3:6" ht="15" customHeight="1" x14ac:dyDescent="0.25">
      <c r="C857" s="160"/>
      <c r="D857" s="160"/>
      <c r="E857" s="160"/>
      <c r="F857" s="160"/>
    </row>
    <row r="858" spans="3:6" ht="15" customHeight="1" x14ac:dyDescent="0.25">
      <c r="C858" s="160"/>
      <c r="D858" s="160"/>
      <c r="E858" s="160"/>
      <c r="F858" s="160"/>
    </row>
    <row r="859" spans="3:6" ht="15" customHeight="1" x14ac:dyDescent="0.25">
      <c r="C859" s="160"/>
      <c r="D859" s="160"/>
      <c r="E859" s="160"/>
      <c r="F859" s="160"/>
    </row>
    <row r="860" spans="3:6" ht="15" customHeight="1" x14ac:dyDescent="0.25">
      <c r="C860" s="160"/>
      <c r="D860" s="160"/>
      <c r="E860" s="160"/>
      <c r="F860" s="160"/>
    </row>
    <row r="861" spans="3:6" ht="15" customHeight="1" x14ac:dyDescent="0.25">
      <c r="C861" s="160"/>
      <c r="D861" s="160"/>
      <c r="E861" s="160"/>
      <c r="F861" s="160"/>
    </row>
    <row r="862" spans="3:6" ht="15" customHeight="1" x14ac:dyDescent="0.25">
      <c r="C862" s="160"/>
      <c r="D862" s="160"/>
      <c r="E862" s="160"/>
      <c r="F862" s="160"/>
    </row>
    <row r="863" spans="3:6" ht="15" customHeight="1" x14ac:dyDescent="0.25">
      <c r="C863" s="160"/>
      <c r="D863" s="160"/>
      <c r="E863" s="160"/>
      <c r="F863" s="160"/>
    </row>
    <row r="864" spans="3:6" ht="15" customHeight="1" x14ac:dyDescent="0.25">
      <c r="C864" s="160"/>
      <c r="D864" s="160"/>
      <c r="E864" s="160"/>
      <c r="F864" s="160"/>
    </row>
    <row r="865" spans="3:6" ht="15" customHeight="1" x14ac:dyDescent="0.25">
      <c r="C865" s="160"/>
      <c r="D865" s="160"/>
      <c r="E865" s="160"/>
      <c r="F865" s="160"/>
    </row>
    <row r="866" spans="3:6" ht="15" customHeight="1" x14ac:dyDescent="0.25">
      <c r="C866" s="160"/>
      <c r="D866" s="160"/>
      <c r="E866" s="160"/>
      <c r="F866" s="160"/>
    </row>
    <row r="867" spans="3:6" ht="15" customHeight="1" x14ac:dyDescent="0.25">
      <c r="C867" s="160"/>
      <c r="D867" s="160"/>
      <c r="E867" s="160"/>
      <c r="F867" s="160"/>
    </row>
    <row r="868" spans="3:6" ht="15" customHeight="1" x14ac:dyDescent="0.25">
      <c r="C868" s="160"/>
      <c r="D868" s="160"/>
      <c r="E868" s="160"/>
      <c r="F868" s="160"/>
    </row>
    <row r="869" spans="3:6" ht="15" customHeight="1" x14ac:dyDescent="0.25">
      <c r="C869" s="160"/>
      <c r="D869" s="160"/>
      <c r="E869" s="160"/>
      <c r="F869" s="160"/>
    </row>
    <row r="870" spans="3:6" ht="15" customHeight="1" x14ac:dyDescent="0.25">
      <c r="C870" s="160"/>
      <c r="D870" s="160"/>
      <c r="E870" s="160"/>
      <c r="F870" s="160"/>
    </row>
    <row r="871" spans="3:6" ht="15" customHeight="1" x14ac:dyDescent="0.25">
      <c r="C871" s="160"/>
      <c r="D871" s="160"/>
      <c r="E871" s="160"/>
      <c r="F871" s="160"/>
    </row>
    <row r="872" spans="3:6" ht="15" customHeight="1" x14ac:dyDescent="0.25">
      <c r="C872" s="160"/>
      <c r="D872" s="160"/>
      <c r="E872" s="160"/>
      <c r="F872" s="160"/>
    </row>
    <row r="873" spans="3:6" ht="15" customHeight="1" x14ac:dyDescent="0.25">
      <c r="C873" s="160"/>
      <c r="D873" s="160"/>
      <c r="E873" s="160"/>
      <c r="F873" s="160"/>
    </row>
    <row r="874" spans="3:6" ht="15" customHeight="1" x14ac:dyDescent="0.25">
      <c r="C874" s="160"/>
      <c r="D874" s="160"/>
      <c r="E874" s="160"/>
      <c r="F874" s="160"/>
    </row>
    <row r="875" spans="3:6" ht="15" customHeight="1" x14ac:dyDescent="0.25">
      <c r="C875" s="160"/>
      <c r="D875" s="160"/>
      <c r="E875" s="160"/>
      <c r="F875" s="160"/>
    </row>
    <row r="876" spans="3:6" ht="15" customHeight="1" x14ac:dyDescent="0.25">
      <c r="C876" s="160"/>
      <c r="D876" s="160"/>
      <c r="E876" s="160"/>
      <c r="F876" s="160"/>
    </row>
    <row r="877" spans="3:6" ht="15" customHeight="1" x14ac:dyDescent="0.25">
      <c r="C877" s="160"/>
      <c r="D877" s="160"/>
      <c r="E877" s="160"/>
      <c r="F877" s="160"/>
    </row>
    <row r="878" spans="3:6" ht="15" customHeight="1" x14ac:dyDescent="0.25">
      <c r="C878" s="160"/>
      <c r="D878" s="160"/>
      <c r="E878" s="160"/>
      <c r="F878" s="160"/>
    </row>
    <row r="879" spans="3:6" ht="15" customHeight="1" x14ac:dyDescent="0.25">
      <c r="C879" s="160"/>
      <c r="D879" s="160"/>
      <c r="E879" s="160"/>
      <c r="F879" s="160"/>
    </row>
    <row r="880" spans="3:6" ht="15" customHeight="1" x14ac:dyDescent="0.25">
      <c r="C880" s="160"/>
      <c r="D880" s="160"/>
      <c r="E880" s="160"/>
      <c r="F880" s="160"/>
    </row>
    <row r="881" spans="3:6" ht="15" customHeight="1" x14ac:dyDescent="0.25">
      <c r="C881" s="160"/>
      <c r="D881" s="160"/>
      <c r="E881" s="160"/>
      <c r="F881" s="160"/>
    </row>
    <row r="882" spans="3:6" ht="15" customHeight="1" x14ac:dyDescent="0.25">
      <c r="C882" s="160"/>
      <c r="D882" s="160"/>
      <c r="E882" s="160"/>
      <c r="F882" s="160"/>
    </row>
    <row r="883" spans="3:6" ht="15" customHeight="1" x14ac:dyDescent="0.25">
      <c r="C883" s="160"/>
      <c r="D883" s="160"/>
      <c r="E883" s="160"/>
      <c r="F883" s="160"/>
    </row>
    <row r="884" spans="3:6" ht="15" customHeight="1" x14ac:dyDescent="0.25">
      <c r="C884" s="160"/>
      <c r="D884" s="160"/>
      <c r="E884" s="160"/>
      <c r="F884" s="77"/>
    </row>
    <row r="885" spans="3:6" ht="15" customHeight="1" x14ac:dyDescent="0.25">
      <c r="C885" s="160"/>
      <c r="D885" s="160"/>
      <c r="E885" s="160"/>
      <c r="F885" s="77"/>
    </row>
    <row r="886" spans="3:6" ht="15" customHeight="1" x14ac:dyDescent="0.25">
      <c r="C886" s="160"/>
      <c r="D886" s="160"/>
      <c r="E886" s="160"/>
      <c r="F886" s="77"/>
    </row>
    <row r="887" spans="3:6" ht="15" customHeight="1" x14ac:dyDescent="0.25">
      <c r="C887" s="160"/>
      <c r="D887" s="160"/>
      <c r="E887" s="160"/>
      <c r="F887" s="77"/>
    </row>
    <row r="888" spans="3:6" ht="15" customHeight="1" x14ac:dyDescent="0.25">
      <c r="C888" s="160"/>
      <c r="D888" s="160"/>
      <c r="E888" s="160"/>
      <c r="F888" s="77"/>
    </row>
    <row r="889" spans="3:6" ht="15" customHeight="1" x14ac:dyDescent="0.25">
      <c r="C889" s="160"/>
      <c r="D889" s="160"/>
      <c r="E889" s="160"/>
      <c r="F889" s="77"/>
    </row>
    <row r="890" spans="3:6" ht="15" customHeight="1" x14ac:dyDescent="0.25">
      <c r="C890" s="160"/>
      <c r="D890" s="160"/>
      <c r="E890" s="160"/>
      <c r="F890" s="77"/>
    </row>
    <row r="891" spans="3:6" ht="15" customHeight="1" x14ac:dyDescent="0.25">
      <c r="C891" s="160"/>
      <c r="D891" s="160"/>
      <c r="E891" s="160"/>
      <c r="F891" s="77"/>
    </row>
    <row r="892" spans="3:6" ht="15" customHeight="1" x14ac:dyDescent="0.25">
      <c r="C892" s="160"/>
      <c r="D892" s="160"/>
      <c r="E892" s="160"/>
      <c r="F892" s="77"/>
    </row>
    <row r="893" spans="3:6" ht="15" customHeight="1" x14ac:dyDescent="0.25">
      <c r="C893" s="160"/>
      <c r="D893" s="160"/>
      <c r="E893" s="160"/>
      <c r="F893" s="77"/>
    </row>
    <row r="894" spans="3:6" ht="15" customHeight="1" x14ac:dyDescent="0.25">
      <c r="C894" s="160"/>
      <c r="D894" s="160"/>
      <c r="E894" s="160"/>
      <c r="F894" s="77"/>
    </row>
    <row r="895" spans="3:6" ht="15" customHeight="1" x14ac:dyDescent="0.25">
      <c r="C895" s="160"/>
      <c r="D895" s="160"/>
      <c r="E895" s="160"/>
      <c r="F895" s="77"/>
    </row>
    <row r="896" spans="3:6" ht="15" customHeight="1" x14ac:dyDescent="0.25">
      <c r="C896" s="160"/>
      <c r="D896" s="160"/>
      <c r="E896" s="160"/>
      <c r="F896" s="77"/>
    </row>
    <row r="897" spans="3:6" ht="15" customHeight="1" x14ac:dyDescent="0.25">
      <c r="C897" s="160"/>
      <c r="D897" s="160"/>
      <c r="E897" s="160"/>
      <c r="F897" s="77"/>
    </row>
    <row r="898" spans="3:6" ht="15" customHeight="1" x14ac:dyDescent="0.25">
      <c r="C898" s="160"/>
      <c r="D898" s="160"/>
      <c r="E898" s="160"/>
      <c r="F898" s="77"/>
    </row>
    <row r="899" spans="3:6" ht="15" customHeight="1" x14ac:dyDescent="0.25">
      <c r="C899" s="160"/>
      <c r="D899" s="160"/>
      <c r="E899" s="160"/>
      <c r="F899" s="77"/>
    </row>
    <row r="900" spans="3:6" ht="15" customHeight="1" x14ac:dyDescent="0.25">
      <c r="C900" s="160"/>
      <c r="D900" s="160"/>
      <c r="E900" s="160"/>
      <c r="F900" s="77"/>
    </row>
    <row r="901" spans="3:6" ht="15" customHeight="1" x14ac:dyDescent="0.25">
      <c r="C901" s="160"/>
      <c r="D901" s="160"/>
      <c r="E901" s="160"/>
      <c r="F901" s="77"/>
    </row>
    <row r="902" spans="3:6" ht="15" customHeight="1" x14ac:dyDescent="0.25">
      <c r="C902" s="160"/>
      <c r="D902" s="160"/>
      <c r="F902" s="77"/>
    </row>
    <row r="903" spans="3:6" ht="15" customHeight="1" x14ac:dyDescent="0.25">
      <c r="C903" s="160"/>
      <c r="D903" s="160"/>
      <c r="F903" s="77"/>
    </row>
    <row r="904" spans="3:6" ht="15" customHeight="1" x14ac:dyDescent="0.25">
      <c r="C904" s="160"/>
      <c r="D904" s="160"/>
      <c r="F904" s="77"/>
    </row>
    <row r="905" spans="3:6" ht="15" customHeight="1" x14ac:dyDescent="0.25">
      <c r="C905" s="160"/>
      <c r="D905" s="160"/>
      <c r="F905" s="77"/>
    </row>
    <row r="906" spans="3:6" ht="15" customHeight="1" x14ac:dyDescent="0.25">
      <c r="C906" s="160"/>
      <c r="D906" s="160"/>
      <c r="F906" s="77"/>
    </row>
    <row r="907" spans="3:6" ht="15" customHeight="1" x14ac:dyDescent="0.25">
      <c r="C907" s="160"/>
      <c r="D907" s="160"/>
      <c r="F907" s="77"/>
    </row>
    <row r="908" spans="3:6" ht="15" customHeight="1" x14ac:dyDescent="0.25">
      <c r="C908" s="160"/>
      <c r="D908" s="160"/>
      <c r="F908" s="77"/>
    </row>
    <row r="909" spans="3:6" ht="15" customHeight="1" x14ac:dyDescent="0.25">
      <c r="C909" s="160"/>
      <c r="D909" s="160"/>
      <c r="F909" s="77"/>
    </row>
    <row r="910" spans="3:6" ht="15" customHeight="1" x14ac:dyDescent="0.25">
      <c r="C910" s="160"/>
      <c r="D910" s="160"/>
      <c r="F910" s="77"/>
    </row>
    <row r="911" spans="3:6" ht="15" customHeight="1" x14ac:dyDescent="0.25">
      <c r="C911" s="160"/>
      <c r="D911" s="160"/>
      <c r="F911" s="77"/>
    </row>
    <row r="912" spans="3:6" ht="15" customHeight="1" x14ac:dyDescent="0.25">
      <c r="C912" s="160"/>
      <c r="D912" s="160"/>
      <c r="F912" s="77"/>
    </row>
    <row r="913" spans="3:6" ht="15" customHeight="1" x14ac:dyDescent="0.25">
      <c r="C913" s="160"/>
      <c r="D913" s="160"/>
      <c r="F913" s="77"/>
    </row>
    <row r="914" spans="3:6" ht="15" customHeight="1" x14ac:dyDescent="0.25">
      <c r="C914" s="160"/>
      <c r="D914" s="160"/>
      <c r="F914" s="77"/>
    </row>
    <row r="915" spans="3:6" ht="15" customHeight="1" x14ac:dyDescent="0.25">
      <c r="C915" s="160"/>
      <c r="D915" s="160"/>
      <c r="F915" s="77"/>
    </row>
    <row r="916" spans="3:6" ht="15" customHeight="1" x14ac:dyDescent="0.25">
      <c r="C916" s="160"/>
      <c r="D916" s="160"/>
      <c r="F916" s="77"/>
    </row>
    <row r="917" spans="3:6" ht="15" customHeight="1" x14ac:dyDescent="0.25">
      <c r="C917" s="160"/>
      <c r="D917" s="160"/>
      <c r="F917" s="77"/>
    </row>
    <row r="918" spans="3:6" ht="15" customHeight="1" x14ac:dyDescent="0.25">
      <c r="C918" s="160"/>
      <c r="D918" s="160"/>
      <c r="F918" s="77"/>
    </row>
    <row r="919" spans="3:6" ht="15" customHeight="1" x14ac:dyDescent="0.25">
      <c r="C919" s="160"/>
      <c r="D919" s="160"/>
      <c r="F919" s="77"/>
    </row>
    <row r="920" spans="3:6" ht="15" customHeight="1" x14ac:dyDescent="0.25">
      <c r="C920" s="160"/>
      <c r="D920" s="160"/>
      <c r="F920" s="77"/>
    </row>
    <row r="921" spans="3:6" ht="15" customHeight="1" x14ac:dyDescent="0.25">
      <c r="C921" s="160"/>
      <c r="D921" s="160"/>
      <c r="F921" s="77"/>
    </row>
    <row r="922" spans="3:6" ht="15" customHeight="1" x14ac:dyDescent="0.25">
      <c r="C922" s="160"/>
      <c r="D922" s="160"/>
      <c r="F922" s="77"/>
    </row>
    <row r="923" spans="3:6" ht="15" customHeight="1" x14ac:dyDescent="0.25">
      <c r="C923" s="160"/>
      <c r="D923" s="160"/>
      <c r="F923" s="77"/>
    </row>
    <row r="924" spans="3:6" ht="15" customHeight="1" x14ac:dyDescent="0.25">
      <c r="C924" s="160"/>
      <c r="D924" s="160"/>
      <c r="F924" s="77"/>
    </row>
    <row r="925" spans="3:6" ht="15" customHeight="1" x14ac:dyDescent="0.25">
      <c r="C925" s="160"/>
      <c r="D925" s="160"/>
      <c r="F925" s="77"/>
    </row>
    <row r="926" spans="3:6" ht="15" customHeight="1" x14ac:dyDescent="0.25">
      <c r="C926" s="160"/>
      <c r="D926" s="160"/>
      <c r="F926" s="77"/>
    </row>
    <row r="927" spans="3:6" ht="15" customHeight="1" x14ac:dyDescent="0.25">
      <c r="C927" s="160"/>
      <c r="D927" s="160"/>
      <c r="F927" s="77"/>
    </row>
    <row r="928" spans="3:6" ht="15" customHeight="1" x14ac:dyDescent="0.25">
      <c r="C928" s="160"/>
      <c r="D928" s="160"/>
      <c r="F928" s="77"/>
    </row>
    <row r="929" spans="3:6" ht="15" customHeight="1" x14ac:dyDescent="0.25">
      <c r="C929" s="160"/>
      <c r="D929" s="160"/>
      <c r="F929" s="77"/>
    </row>
    <row r="930" spans="3:6" ht="15" customHeight="1" x14ac:dyDescent="0.25">
      <c r="C930" s="160"/>
      <c r="D930" s="160"/>
      <c r="F930" s="77"/>
    </row>
    <row r="931" spans="3:6" ht="15" customHeight="1" x14ac:dyDescent="0.25">
      <c r="C931" s="160"/>
      <c r="D931" s="160"/>
      <c r="F931" s="77"/>
    </row>
    <row r="932" spans="3:6" ht="15" customHeight="1" x14ac:dyDescent="0.25">
      <c r="C932" s="160"/>
      <c r="D932" s="160"/>
      <c r="F932" s="77"/>
    </row>
    <row r="933" spans="3:6" ht="15" customHeight="1" x14ac:dyDescent="0.25">
      <c r="C933" s="160"/>
      <c r="D933" s="160"/>
      <c r="F933" s="77"/>
    </row>
    <row r="934" spans="3:6" ht="15" customHeight="1" x14ac:dyDescent="0.25">
      <c r="C934" s="160"/>
      <c r="D934" s="160"/>
      <c r="F934" s="77"/>
    </row>
    <row r="935" spans="3:6" ht="15" customHeight="1" x14ac:dyDescent="0.25">
      <c r="C935" s="160"/>
      <c r="D935" s="160"/>
      <c r="F935" s="77"/>
    </row>
    <row r="936" spans="3:6" ht="15" customHeight="1" x14ac:dyDescent="0.25">
      <c r="C936" s="160"/>
      <c r="D936" s="160"/>
      <c r="F936" s="77"/>
    </row>
    <row r="937" spans="3:6" ht="15" customHeight="1" x14ac:dyDescent="0.25">
      <c r="C937" s="160"/>
      <c r="D937" s="160"/>
      <c r="F937" s="77"/>
    </row>
    <row r="938" spans="3:6" ht="15" customHeight="1" x14ac:dyDescent="0.25">
      <c r="C938" s="160"/>
      <c r="D938" s="160"/>
      <c r="F938" s="77"/>
    </row>
    <row r="939" spans="3:6" ht="15" customHeight="1" x14ac:dyDescent="0.25">
      <c r="C939" s="160"/>
      <c r="D939" s="160"/>
      <c r="F939" s="77"/>
    </row>
    <row r="940" spans="3:6" ht="15" customHeight="1" x14ac:dyDescent="0.25">
      <c r="C940" s="160"/>
      <c r="D940" s="160"/>
      <c r="F940" s="77"/>
    </row>
    <row r="941" spans="3:6" ht="15" customHeight="1" x14ac:dyDescent="0.25">
      <c r="C941" s="160"/>
      <c r="D941" s="160"/>
      <c r="F941" s="77"/>
    </row>
    <row r="942" spans="3:6" ht="15" customHeight="1" x14ac:dyDescent="0.25">
      <c r="C942" s="160"/>
      <c r="D942" s="160"/>
      <c r="F942" s="77"/>
    </row>
    <row r="943" spans="3:6" ht="15" customHeight="1" x14ac:dyDescent="0.25">
      <c r="C943" s="160"/>
      <c r="D943" s="160"/>
      <c r="F943" s="77"/>
    </row>
    <row r="944" spans="3:6" ht="15" customHeight="1" x14ac:dyDescent="0.25">
      <c r="C944" s="160"/>
      <c r="D944" s="160"/>
      <c r="F944" s="77"/>
    </row>
    <row r="945" spans="3:6" ht="15" customHeight="1" x14ac:dyDescent="0.25">
      <c r="C945" s="160"/>
      <c r="D945" s="160"/>
      <c r="F945" s="77"/>
    </row>
    <row r="946" spans="3:6" ht="15" customHeight="1" x14ac:dyDescent="0.25">
      <c r="C946" s="160"/>
      <c r="D946" s="160"/>
      <c r="F946" s="77"/>
    </row>
    <row r="947" spans="3:6" ht="15" customHeight="1" x14ac:dyDescent="0.25">
      <c r="C947" s="160"/>
      <c r="D947" s="160"/>
      <c r="F947" s="77"/>
    </row>
    <row r="948" spans="3:6" ht="15" customHeight="1" x14ac:dyDescent="0.25">
      <c r="C948" s="160"/>
      <c r="D948" s="160"/>
      <c r="F948" s="77"/>
    </row>
    <row r="949" spans="3:6" ht="15" customHeight="1" x14ac:dyDescent="0.25">
      <c r="C949" s="160"/>
      <c r="D949" s="160"/>
      <c r="F949" s="77"/>
    </row>
    <row r="950" spans="3:6" ht="15" customHeight="1" x14ac:dyDescent="0.25">
      <c r="C950" s="160"/>
      <c r="D950" s="160"/>
      <c r="F950" s="77"/>
    </row>
    <row r="951" spans="3:6" ht="15" customHeight="1" x14ac:dyDescent="0.25">
      <c r="C951" s="160"/>
      <c r="D951" s="160"/>
      <c r="F951" s="77"/>
    </row>
    <row r="952" spans="3:6" ht="15" customHeight="1" x14ac:dyDescent="0.25">
      <c r="C952" s="160"/>
      <c r="D952" s="160"/>
      <c r="F952" s="77"/>
    </row>
    <row r="953" spans="3:6" ht="15" customHeight="1" x14ac:dyDescent="0.25">
      <c r="C953" s="160"/>
      <c r="D953" s="160"/>
      <c r="F953" s="77"/>
    </row>
    <row r="954" spans="3:6" ht="15" customHeight="1" x14ac:dyDescent="0.25">
      <c r="C954" s="160"/>
      <c r="D954" s="160"/>
      <c r="F954" s="77"/>
    </row>
    <row r="955" spans="3:6" ht="15" customHeight="1" x14ac:dyDescent="0.25">
      <c r="C955" s="160"/>
      <c r="D955" s="160"/>
    </row>
    <row r="956" spans="3:6" ht="15" customHeight="1" x14ac:dyDescent="0.25">
      <c r="C956" s="160"/>
      <c r="D956" s="160"/>
    </row>
    <row r="957" spans="3:6" ht="15" customHeight="1" x14ac:dyDescent="0.25">
      <c r="C957" s="160"/>
      <c r="D957" s="160"/>
    </row>
    <row r="958" spans="3:6" ht="15" customHeight="1" x14ac:dyDescent="0.25">
      <c r="C958" s="160"/>
      <c r="D958" s="160"/>
    </row>
    <row r="959" spans="3:6" ht="15" customHeight="1" x14ac:dyDescent="0.25">
      <c r="C959" s="160"/>
      <c r="D959" s="160"/>
    </row>
    <row r="960" spans="3:6" ht="15" customHeight="1" x14ac:dyDescent="0.25">
      <c r="C960" s="160"/>
      <c r="D960" s="160"/>
    </row>
    <row r="961" spans="3:4" ht="15" customHeight="1" x14ac:dyDescent="0.25">
      <c r="C961" s="160"/>
      <c r="D961" s="160"/>
    </row>
    <row r="962" spans="3:4" ht="15" customHeight="1" x14ac:dyDescent="0.25">
      <c r="C962" s="160"/>
      <c r="D962" s="160"/>
    </row>
    <row r="963" spans="3:4" ht="15" customHeight="1" x14ac:dyDescent="0.25">
      <c r="C963" s="160"/>
      <c r="D963" s="160"/>
    </row>
    <row r="964" spans="3:4" ht="15" customHeight="1" x14ac:dyDescent="0.25">
      <c r="C964" s="160"/>
      <c r="D964" s="160"/>
    </row>
    <row r="965" spans="3:4" ht="15" customHeight="1" x14ac:dyDescent="0.25">
      <c r="C965" s="160"/>
      <c r="D965" s="160"/>
    </row>
    <row r="966" spans="3:4" ht="15" customHeight="1" x14ac:dyDescent="0.25">
      <c r="C966" s="160"/>
      <c r="D966" s="160"/>
    </row>
    <row r="967" spans="3:4" ht="15" customHeight="1" x14ac:dyDescent="0.25">
      <c r="C967" s="160"/>
      <c r="D967" s="160"/>
    </row>
    <row r="968" spans="3:4" ht="15" customHeight="1" x14ac:dyDescent="0.25">
      <c r="C968" s="160"/>
      <c r="D968" s="160"/>
    </row>
    <row r="969" spans="3:4" ht="15" customHeight="1" x14ac:dyDescent="0.25">
      <c r="C969" s="160"/>
      <c r="D969" s="160"/>
    </row>
    <row r="970" spans="3:4" ht="15" customHeight="1" x14ac:dyDescent="0.25">
      <c r="C970" s="160"/>
      <c r="D970" s="160"/>
    </row>
    <row r="971" spans="3:4" ht="15" customHeight="1" x14ac:dyDescent="0.25">
      <c r="C971" s="160"/>
      <c r="D971" s="160"/>
    </row>
    <row r="972" spans="3:4" ht="15" customHeight="1" x14ac:dyDescent="0.25">
      <c r="C972" s="160"/>
      <c r="D972" s="160"/>
    </row>
    <row r="973" spans="3:4" ht="15" customHeight="1" x14ac:dyDescent="0.25">
      <c r="C973" s="160"/>
      <c r="D973" s="160"/>
    </row>
    <row r="974" spans="3:4" ht="15" customHeight="1" x14ac:dyDescent="0.25">
      <c r="C974" s="160"/>
      <c r="D974" s="160"/>
    </row>
    <row r="975" spans="3:4" ht="15" customHeight="1" x14ac:dyDescent="0.25">
      <c r="C975" s="160"/>
      <c r="D975" s="160"/>
    </row>
    <row r="976" spans="3:4" ht="15" customHeight="1" x14ac:dyDescent="0.25">
      <c r="C976" s="160"/>
      <c r="D976" s="160"/>
    </row>
    <row r="977" spans="3:4" ht="15" customHeight="1" x14ac:dyDescent="0.25">
      <c r="C977" s="160"/>
      <c r="D977" s="160"/>
    </row>
    <row r="978" spans="3:4" ht="15" customHeight="1" x14ac:dyDescent="0.25">
      <c r="C978" s="160"/>
      <c r="D978" s="160"/>
    </row>
    <row r="979" spans="3:4" ht="15" customHeight="1" x14ac:dyDescent="0.25">
      <c r="C979" s="160"/>
      <c r="D979" s="160"/>
    </row>
    <row r="980" spans="3:4" ht="15" customHeight="1" x14ac:dyDescent="0.25">
      <c r="C980" s="160"/>
      <c r="D980" s="160"/>
    </row>
    <row r="981" spans="3:4" ht="15" customHeight="1" x14ac:dyDescent="0.25">
      <c r="C981" s="160"/>
      <c r="D981" s="160"/>
    </row>
    <row r="982" spans="3:4" ht="15" customHeight="1" x14ac:dyDescent="0.25">
      <c r="C982" s="160"/>
      <c r="D982" s="160"/>
    </row>
    <row r="983" spans="3:4" ht="15" customHeight="1" x14ac:dyDescent="0.25">
      <c r="C983" s="160"/>
      <c r="D983" s="160"/>
    </row>
    <row r="984" spans="3:4" ht="15" customHeight="1" x14ac:dyDescent="0.25">
      <c r="C984" s="160"/>
      <c r="D984" s="160"/>
    </row>
    <row r="985" spans="3:4" ht="15" customHeight="1" x14ac:dyDescent="0.25">
      <c r="C985" s="160"/>
      <c r="D985" s="160"/>
    </row>
    <row r="986" spans="3:4" ht="15" customHeight="1" x14ac:dyDescent="0.25">
      <c r="C986" s="160"/>
      <c r="D986" s="160"/>
    </row>
    <row r="987" spans="3:4" ht="15" customHeight="1" x14ac:dyDescent="0.25">
      <c r="C987" s="160"/>
      <c r="D987" s="160"/>
    </row>
    <row r="988" spans="3:4" ht="15" customHeight="1" x14ac:dyDescent="0.25">
      <c r="C988" s="160"/>
      <c r="D988" s="160"/>
    </row>
    <row r="989" spans="3:4" ht="15" customHeight="1" x14ac:dyDescent="0.25">
      <c r="C989" s="160"/>
      <c r="D989" s="160"/>
    </row>
    <row r="990" spans="3:4" ht="15" customHeight="1" x14ac:dyDescent="0.25">
      <c r="C990" s="160"/>
      <c r="D990" s="160"/>
    </row>
    <row r="991" spans="3:4" ht="15" customHeight="1" x14ac:dyDescent="0.25">
      <c r="C991" s="160"/>
      <c r="D991" s="160"/>
    </row>
    <row r="992" spans="3:4" ht="15" customHeight="1" x14ac:dyDescent="0.25">
      <c r="C992" s="160"/>
      <c r="D992" s="160"/>
    </row>
    <row r="993" spans="3:4" ht="15" customHeight="1" x14ac:dyDescent="0.25">
      <c r="C993" s="160"/>
      <c r="D993" s="160"/>
    </row>
    <row r="994" spans="3:4" ht="15" customHeight="1" x14ac:dyDescent="0.25">
      <c r="C994" s="160"/>
      <c r="D994" s="160"/>
    </row>
    <row r="995" spans="3:4" ht="15" customHeight="1" x14ac:dyDescent="0.25">
      <c r="C995" s="160"/>
      <c r="D995" s="160"/>
    </row>
    <row r="996" spans="3:4" ht="15" customHeight="1" x14ac:dyDescent="0.25">
      <c r="C996" s="160"/>
      <c r="D996" s="160"/>
    </row>
    <row r="997" spans="3:4" ht="15" customHeight="1" x14ac:dyDescent="0.25">
      <c r="C997" s="160"/>
      <c r="D997" s="160"/>
    </row>
    <row r="998" spans="3:4" ht="15" customHeight="1" x14ac:dyDescent="0.25">
      <c r="C998" s="160"/>
      <c r="D998" s="160"/>
    </row>
    <row r="999" spans="3:4" ht="15" customHeight="1" x14ac:dyDescent="0.25">
      <c r="C999" s="160"/>
      <c r="D999" s="160"/>
    </row>
    <row r="1000" spans="3:4" ht="15" customHeight="1" x14ac:dyDescent="0.25">
      <c r="C1000" s="160"/>
      <c r="D1000" s="160"/>
    </row>
    <row r="1001" spans="3:4" ht="15" customHeight="1" x14ac:dyDescent="0.25">
      <c r="D1001" s="160"/>
    </row>
    <row r="1002" spans="3:4" ht="15" customHeight="1" x14ac:dyDescent="0.25">
      <c r="D1002" s="160"/>
    </row>
    <row r="1003" spans="3:4" ht="15" customHeight="1" x14ac:dyDescent="0.25">
      <c r="D1003" s="160"/>
    </row>
    <row r="1004" spans="3:4" ht="15" customHeight="1" x14ac:dyDescent="0.25">
      <c r="D1004" s="160"/>
    </row>
    <row r="1005" spans="3:4" ht="15" customHeight="1" x14ac:dyDescent="0.25">
      <c r="D1005" s="160"/>
    </row>
    <row r="1006" spans="3:4" ht="15" customHeight="1" x14ac:dyDescent="0.25">
      <c r="D1006" s="160"/>
    </row>
    <row r="1007" spans="3:4" ht="15" customHeight="1" x14ac:dyDescent="0.25">
      <c r="D1007" s="160"/>
    </row>
    <row r="1008" spans="3:4" ht="15" customHeight="1" x14ac:dyDescent="0.25">
      <c r="D1008" s="160"/>
    </row>
    <row r="1009" spans="4:4" ht="15" customHeight="1" x14ac:dyDescent="0.25">
      <c r="D1009" s="160"/>
    </row>
    <row r="1010" spans="4:4" ht="15" customHeight="1" x14ac:dyDescent="0.25">
      <c r="D1010" s="160"/>
    </row>
    <row r="1011" spans="4:4" ht="15" customHeight="1" x14ac:dyDescent="0.25">
      <c r="D1011" s="160"/>
    </row>
    <row r="1012" spans="4:4" ht="15" customHeight="1" x14ac:dyDescent="0.25">
      <c r="D1012" s="160"/>
    </row>
    <row r="1013" spans="4:4" ht="15" customHeight="1" x14ac:dyDescent="0.25">
      <c r="D1013" s="160"/>
    </row>
    <row r="1014" spans="4:4" ht="15" customHeight="1" x14ac:dyDescent="0.25">
      <c r="D1014" s="160"/>
    </row>
    <row r="1015" spans="4:4" ht="15" customHeight="1" x14ac:dyDescent="0.25">
      <c r="D1015" s="160"/>
    </row>
    <row r="1016" spans="4:4" ht="15" customHeight="1" x14ac:dyDescent="0.25">
      <c r="D1016" s="160"/>
    </row>
    <row r="1017" spans="4:4" ht="15" customHeight="1" x14ac:dyDescent="0.25">
      <c r="D1017" s="160"/>
    </row>
    <row r="1018" spans="4:4" ht="15" customHeight="1" x14ac:dyDescent="0.25">
      <c r="D1018" s="160"/>
    </row>
  </sheetData>
  <sheetProtection algorithmName="SHA-512" hashValue="HoV0wBembH8TiVF2t0AfQRWD7sNZiW2nY6kpb47gSiVuLBXfWdba7I69sU6BwkSUDBjlfBYq7EXdYikiJzGfbw==" saltValue="jAuDnV9lMO2Se143YepehQ==" spinCount="100000" sheet="1" scenarios="1" formatCells="0" formatColumns="0" insertRows="0" deleteRows="0" autoFilter="0"/>
  <autoFilter ref="A5:A392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1"/>
  <sheetViews>
    <sheetView showGridLines="0" zoomScaleNormal="100" workbookViewId="0"/>
  </sheetViews>
  <sheetFormatPr defaultColWidth="0" defaultRowHeight="15" x14ac:dyDescent="0.25"/>
  <cols>
    <col min="1" max="1" width="43.140625" bestFit="1" customWidth="1"/>
    <col min="2" max="4" width="14.28515625" style="249" customWidth="1"/>
    <col min="5" max="7" width="14.28515625" style="197" customWidth="1"/>
    <col min="8" max="10" width="14.28515625" style="178" customWidth="1"/>
    <col min="11" max="13" width="14.28515625" style="120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346" t="s">
        <v>50</v>
      </c>
      <c r="C2" s="346"/>
      <c r="D2" s="346"/>
      <c r="E2" s="346"/>
      <c r="F2" s="346"/>
      <c r="G2" s="346"/>
      <c r="H2" s="346"/>
      <c r="I2" s="346"/>
      <c r="J2" s="249"/>
      <c r="K2" s="249"/>
      <c r="L2" s="249"/>
      <c r="M2" s="197"/>
      <c r="N2" s="42"/>
      <c r="O2" s="42"/>
      <c r="P2" s="42"/>
    </row>
    <row r="3" spans="1:16" x14ac:dyDescent="0.25">
      <c r="B3" s="346"/>
      <c r="C3" s="346"/>
      <c r="D3" s="346"/>
      <c r="E3" s="346"/>
      <c r="F3" s="346"/>
      <c r="G3" s="346"/>
      <c r="H3" s="346"/>
      <c r="I3" s="346"/>
      <c r="J3" s="249"/>
      <c r="K3" s="249"/>
      <c r="L3" s="249"/>
      <c r="M3" s="197"/>
      <c r="N3" s="42"/>
      <c r="O3" s="42"/>
      <c r="P3" s="42"/>
    </row>
    <row r="5" spans="1:16" x14ac:dyDescent="0.25">
      <c r="A5" s="8" t="s">
        <v>9</v>
      </c>
      <c r="B5" s="345">
        <v>2020</v>
      </c>
      <c r="C5" s="345"/>
      <c r="D5" s="248">
        <v>2020</v>
      </c>
      <c r="E5" s="345">
        <v>2019</v>
      </c>
      <c r="F5" s="345"/>
      <c r="G5" s="196">
        <v>2019</v>
      </c>
      <c r="H5" s="345">
        <v>2018</v>
      </c>
      <c r="I5" s="345"/>
      <c r="J5" s="177">
        <v>2018</v>
      </c>
      <c r="K5" s="345">
        <v>2017</v>
      </c>
      <c r="L5" s="345"/>
      <c r="M5" s="119">
        <v>2017</v>
      </c>
    </row>
    <row r="6" spans="1:16" x14ac:dyDescent="0.25">
      <c r="A6" s="8"/>
      <c r="B6" s="182" t="s">
        <v>22</v>
      </c>
      <c r="C6" s="182" t="s">
        <v>23</v>
      </c>
      <c r="D6" s="181" t="s">
        <v>32</v>
      </c>
      <c r="E6" s="182" t="s">
        <v>22</v>
      </c>
      <c r="F6" s="182" t="s">
        <v>23</v>
      </c>
      <c r="G6" s="181" t="s">
        <v>32</v>
      </c>
      <c r="H6" s="182" t="s">
        <v>22</v>
      </c>
      <c r="I6" s="182" t="s">
        <v>23</v>
      </c>
      <c r="J6" s="181" t="s">
        <v>32</v>
      </c>
      <c r="K6" s="182" t="s">
        <v>22</v>
      </c>
      <c r="L6" s="182" t="s">
        <v>23</v>
      </c>
      <c r="M6" s="181" t="s">
        <v>32</v>
      </c>
    </row>
    <row r="7" spans="1:16" s="31" customFormat="1" ht="27" customHeight="1" x14ac:dyDescent="0.25">
      <c r="A7" s="157" t="s">
        <v>24</v>
      </c>
      <c r="B7" s="209">
        <v>112832.55345377339</v>
      </c>
      <c r="C7" s="209">
        <v>39323.712308237111</v>
      </c>
      <c r="D7" s="206">
        <f>$B$7-$C$7</f>
        <v>73508.84114553628</v>
      </c>
      <c r="E7" s="206">
        <v>88307.79275392303</v>
      </c>
      <c r="F7" s="206">
        <v>35856.649168231132</v>
      </c>
      <c r="G7" s="206">
        <f>$E$7-$F$7</f>
        <v>52451.143585691898</v>
      </c>
      <c r="H7" s="189">
        <v>66163.354665715829</v>
      </c>
      <c r="I7" s="189">
        <v>24366.73696631211</v>
      </c>
      <c r="J7" s="189">
        <f>$H$7-$I$7</f>
        <v>41796.617699403723</v>
      </c>
      <c r="K7" s="189">
        <v>39579.743139868566</v>
      </c>
      <c r="L7" s="189">
        <v>16008.446321467383</v>
      </c>
      <c r="M7" s="189">
        <f t="shared" ref="M7:M15" si="0">K7-L7</f>
        <v>23571.296818401184</v>
      </c>
      <c r="N7" s="72"/>
    </row>
    <row r="8" spans="1:16" ht="27" customHeight="1" x14ac:dyDescent="0.25">
      <c r="A8" s="155" t="s">
        <v>47</v>
      </c>
      <c r="B8" s="210">
        <v>50857.75660270184</v>
      </c>
      <c r="C8" s="210">
        <v>48582.209536524184</v>
      </c>
      <c r="D8" s="207">
        <f>$B$8-$C$8</f>
        <v>2275.5470661776562</v>
      </c>
      <c r="E8" s="207">
        <v>55985.549545012793</v>
      </c>
      <c r="F8" s="207">
        <v>39795.104407178027</v>
      </c>
      <c r="G8" s="207">
        <f>$E$8-$F$8</f>
        <v>16190.445137834766</v>
      </c>
      <c r="H8" s="190">
        <v>28308.807255467938</v>
      </c>
      <c r="I8" s="190">
        <v>33122.207212934532</v>
      </c>
      <c r="J8" s="190">
        <f>$H$8-$I$8</f>
        <v>-4813.3999574665941</v>
      </c>
      <c r="K8" s="190">
        <v>9856.9374663617855</v>
      </c>
      <c r="L8" s="190">
        <v>32397.064239272793</v>
      </c>
      <c r="M8" s="190">
        <f t="shared" si="0"/>
        <v>-22540.126772911008</v>
      </c>
      <c r="N8" s="72"/>
    </row>
    <row r="9" spans="1:16" ht="27" customHeight="1" x14ac:dyDescent="0.25">
      <c r="A9" s="157" t="s">
        <v>48</v>
      </c>
      <c r="B9" s="209">
        <v>31507.805793711705</v>
      </c>
      <c r="C9" s="209">
        <v>27579.293961953321</v>
      </c>
      <c r="D9" s="206">
        <f>$B$9-$C$9</f>
        <v>3928.5118317583838</v>
      </c>
      <c r="E9" s="206">
        <v>28229.185806670441</v>
      </c>
      <c r="F9" s="206">
        <v>24663.863693970168</v>
      </c>
      <c r="G9" s="206">
        <f>$E$9-$F$9</f>
        <v>3565.3221127002726</v>
      </c>
      <c r="H9" s="189">
        <v>26385.735339797007</v>
      </c>
      <c r="I9" s="189">
        <v>16270.833004722064</v>
      </c>
      <c r="J9" s="189">
        <f>$H$9-$I$9</f>
        <v>10114.902335074943</v>
      </c>
      <c r="K9" s="189">
        <v>25285.574790344293</v>
      </c>
      <c r="L9" s="189">
        <v>-4745.5847725458952</v>
      </c>
      <c r="M9" s="189">
        <f t="shared" si="0"/>
        <v>30031.159562890189</v>
      </c>
      <c r="N9" s="72"/>
    </row>
    <row r="10" spans="1:16" ht="27" customHeight="1" x14ac:dyDescent="0.25">
      <c r="A10" s="155" t="s">
        <v>46</v>
      </c>
      <c r="B10" s="210">
        <v>30764.49013176978</v>
      </c>
      <c r="C10" s="210">
        <v>63641.476992580312</v>
      </c>
      <c r="D10" s="207">
        <f>$B$10-$C$10</f>
        <v>-32876.986860810532</v>
      </c>
      <c r="E10" s="207">
        <v>21512.158876533442</v>
      </c>
      <c r="F10" s="207">
        <v>50954.856227153032</v>
      </c>
      <c r="G10" s="207">
        <f>$E$10-$F$10</f>
        <v>-29442.69735061959</v>
      </c>
      <c r="H10" s="190">
        <v>15922.051601162002</v>
      </c>
      <c r="I10" s="190">
        <v>38996.666170601995</v>
      </c>
      <c r="J10" s="190">
        <f>$H$10-$I$10</f>
        <v>-23074.614569439993</v>
      </c>
      <c r="K10" s="190">
        <v>13861.951720920582</v>
      </c>
      <c r="L10" s="190">
        <v>25534.271567447231</v>
      </c>
      <c r="M10" s="190">
        <f t="shared" si="0"/>
        <v>-11672.319846526649</v>
      </c>
      <c r="N10" s="72"/>
    </row>
    <row r="11" spans="1:16" ht="27" customHeight="1" x14ac:dyDescent="0.25">
      <c r="A11" s="157" t="s">
        <v>25</v>
      </c>
      <c r="B11" s="209">
        <v>15543.543783383509</v>
      </c>
      <c r="C11" s="209">
        <v>46916.286855774546</v>
      </c>
      <c r="D11" s="206">
        <f>$B$11-$C$11</f>
        <v>-31372.743072391037</v>
      </c>
      <c r="E11" s="206">
        <v>11228.602246690865</v>
      </c>
      <c r="F11" s="206">
        <v>33607.324407935339</v>
      </c>
      <c r="G11" s="206">
        <f>$E$11-$F$11</f>
        <v>-22378.722161244474</v>
      </c>
      <c r="H11" s="189">
        <v>8776.0098996976521</v>
      </c>
      <c r="I11" s="189">
        <v>23188.866482955393</v>
      </c>
      <c r="J11" s="189">
        <f>$H$11-$I$11</f>
        <v>-14412.856583257741</v>
      </c>
      <c r="K11" s="189">
        <v>5193.7822937452729</v>
      </c>
      <c r="L11" s="189">
        <v>16802.121819123669</v>
      </c>
      <c r="M11" s="189">
        <f t="shared" si="0"/>
        <v>-11608.339525378397</v>
      </c>
      <c r="N11" s="72"/>
    </row>
    <row r="12" spans="1:16" ht="27" customHeight="1" x14ac:dyDescent="0.25">
      <c r="A12" s="155" t="s">
        <v>26</v>
      </c>
      <c r="B12" s="210">
        <v>10864.479095755742</v>
      </c>
      <c r="C12" s="210">
        <v>6133.8165731781701</v>
      </c>
      <c r="D12" s="207">
        <f>$B$12-$C$12</f>
        <v>4730.6625225775715</v>
      </c>
      <c r="E12" s="207">
        <v>10185.924675035531</v>
      </c>
      <c r="F12" s="207">
        <v>5192.9868289184933</v>
      </c>
      <c r="G12" s="207">
        <f>$E$12-$F$12</f>
        <v>4992.9378461170372</v>
      </c>
      <c r="H12" s="190">
        <v>11781.247393668124</v>
      </c>
      <c r="I12" s="190">
        <v>2401.5638228815337</v>
      </c>
      <c r="J12" s="190">
        <f>$H$12-$I$12</f>
        <v>9379.6835707865903</v>
      </c>
      <c r="K12" s="190">
        <v>10189.882261817371</v>
      </c>
      <c r="L12" s="190">
        <v>2647.8583438147862</v>
      </c>
      <c r="M12" s="190">
        <f t="shared" si="0"/>
        <v>7542.0239180025847</v>
      </c>
      <c r="N12" s="72"/>
    </row>
    <row r="13" spans="1:16" s="124" customFormat="1" ht="27" customHeight="1" x14ac:dyDescent="0.25">
      <c r="A13" s="157" t="s">
        <v>53</v>
      </c>
      <c r="B13" s="209">
        <v>521.27490421971549</v>
      </c>
      <c r="C13" s="209">
        <v>2053.5333452257937</v>
      </c>
      <c r="D13" s="206">
        <f>$B$13-$C$13</f>
        <v>-1532.2584410060781</v>
      </c>
      <c r="E13" s="206">
        <v>-5.1145204798549511</v>
      </c>
      <c r="F13" s="206">
        <v>1846.9536034570908</v>
      </c>
      <c r="G13" s="206">
        <f>$E$13-$F$13</f>
        <v>-1852.0681239369458</v>
      </c>
      <c r="H13" s="189">
        <v>152.121676317165</v>
      </c>
      <c r="I13" s="189">
        <v>1220.6778512686701</v>
      </c>
      <c r="J13" s="189">
        <f>$H$13-$I$13</f>
        <v>-1068.556174951505</v>
      </c>
      <c r="K13" s="189">
        <v>138.28877611392201</v>
      </c>
      <c r="L13" s="189">
        <v>96.358590891323999</v>
      </c>
      <c r="M13" s="189">
        <f t="shared" si="0"/>
        <v>41.930185222598013</v>
      </c>
      <c r="N13" s="72"/>
    </row>
    <row r="14" spans="1:16" ht="27" customHeight="1" x14ac:dyDescent="0.25">
      <c r="A14" s="155" t="s">
        <v>27</v>
      </c>
      <c r="B14" s="210"/>
      <c r="C14" s="210"/>
      <c r="D14" s="207">
        <f>$B$14-$C$14</f>
        <v>0</v>
      </c>
      <c r="E14" s="207"/>
      <c r="F14" s="207"/>
      <c r="G14" s="207">
        <f>$E$14-$F$14</f>
        <v>0</v>
      </c>
      <c r="H14" s="190"/>
      <c r="I14" s="190"/>
      <c r="J14" s="190">
        <f>$H$14-$I$14</f>
        <v>0</v>
      </c>
      <c r="K14" s="190"/>
      <c r="L14" s="190"/>
      <c r="M14" s="190">
        <f t="shared" si="0"/>
        <v>0</v>
      </c>
      <c r="N14" s="72"/>
    </row>
    <row r="15" spans="1:16" ht="27" customHeight="1" x14ac:dyDescent="0.25">
      <c r="A15" s="157" t="s">
        <v>30</v>
      </c>
      <c r="B15" s="209"/>
      <c r="C15" s="209"/>
      <c r="D15" s="206">
        <f>$B$15-$C$15</f>
        <v>0</v>
      </c>
      <c r="E15" s="206"/>
      <c r="F15" s="206"/>
      <c r="G15" s="206">
        <f>$E$15-$F$15</f>
        <v>0</v>
      </c>
      <c r="H15" s="189"/>
      <c r="I15" s="189"/>
      <c r="J15" s="189">
        <f>$H$15-$I$15</f>
        <v>0</v>
      </c>
      <c r="K15" s="189"/>
      <c r="L15" s="189"/>
      <c r="M15" s="189">
        <f t="shared" si="0"/>
        <v>0</v>
      </c>
      <c r="N15" s="72"/>
    </row>
    <row r="16" spans="1:16" ht="27" customHeight="1" x14ac:dyDescent="0.25">
      <c r="A16" s="130" t="s">
        <v>8</v>
      </c>
      <c r="B16" s="208">
        <f t="shared" ref="B16:G16" si="1">SUM(B7:B15)</f>
        <v>252891.90376531566</v>
      </c>
      <c r="C16" s="208">
        <f t="shared" si="1"/>
        <v>234230.32957347343</v>
      </c>
      <c r="D16" s="208">
        <f t="shared" si="1"/>
        <v>18661.574191842239</v>
      </c>
      <c r="E16" s="208">
        <f t="shared" si="1"/>
        <v>215444.0993833862</v>
      </c>
      <c r="F16" s="208">
        <f t="shared" si="1"/>
        <v>191917.73833684326</v>
      </c>
      <c r="G16" s="208">
        <f t="shared" si="1"/>
        <v>23526.361046542959</v>
      </c>
      <c r="H16" s="191">
        <f t="shared" ref="H16:M16" si="2">SUM(H7:H15)</f>
        <v>157489.32783182571</v>
      </c>
      <c r="I16" s="191">
        <f t="shared" si="2"/>
        <v>139567.55151167628</v>
      </c>
      <c r="J16" s="191">
        <f t="shared" si="2"/>
        <v>17921.776320149424</v>
      </c>
      <c r="K16" s="191">
        <f t="shared" si="2"/>
        <v>104106.1604491718</v>
      </c>
      <c r="L16" s="191">
        <f t="shared" si="2"/>
        <v>88740.536109471301</v>
      </c>
      <c r="M16" s="191">
        <f t="shared" si="2"/>
        <v>15365.624339700506</v>
      </c>
      <c r="N16" s="72"/>
    </row>
    <row r="17" spans="1:14" x14ac:dyDescent="0.25">
      <c r="B17" s="179"/>
      <c r="C17" s="179"/>
      <c r="D17" s="72"/>
      <c r="E17" s="179"/>
      <c r="F17" s="179"/>
      <c r="G17" s="72"/>
      <c r="H17" s="179"/>
      <c r="I17" s="179"/>
      <c r="J17" s="72"/>
      <c r="K17" s="179"/>
      <c r="L17" s="179"/>
      <c r="M17" s="72"/>
      <c r="N17" s="72"/>
    </row>
    <row r="18" spans="1:14" x14ac:dyDescent="0.25">
      <c r="A18" s="160" t="s">
        <v>31</v>
      </c>
      <c r="B18" s="180"/>
      <c r="C18" s="180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72"/>
    </row>
    <row r="19" spans="1:14" x14ac:dyDescent="0.25">
      <c r="B19" s="160"/>
      <c r="C19" s="160"/>
      <c r="E19" s="160"/>
      <c r="F19" s="160"/>
      <c r="H19" s="160"/>
      <c r="I19" s="160"/>
      <c r="K19" s="160"/>
      <c r="L19" s="160"/>
    </row>
    <row r="20" spans="1:14" x14ac:dyDescent="0.25">
      <c r="B20" s="160"/>
      <c r="C20" s="160"/>
      <c r="E20" s="160"/>
      <c r="F20" s="160"/>
      <c r="H20" s="160"/>
      <c r="I20" s="160"/>
      <c r="K20" s="160"/>
      <c r="L20" s="160"/>
    </row>
    <row r="21" spans="1:14" x14ac:dyDescent="0.25">
      <c r="B21" s="160"/>
      <c r="C21" s="160"/>
      <c r="E21" s="160"/>
      <c r="F21" s="160"/>
      <c r="H21" s="160"/>
      <c r="I21" s="160"/>
      <c r="K21" s="160"/>
      <c r="L21" s="160"/>
    </row>
    <row r="22" spans="1:14" x14ac:dyDescent="0.25">
      <c r="B22" s="160"/>
      <c r="C22" s="160"/>
      <c r="E22" s="160"/>
      <c r="F22" s="160"/>
      <c r="H22" s="160"/>
      <c r="I22" s="160"/>
      <c r="K22" s="160"/>
      <c r="L22" s="160"/>
    </row>
    <row r="23" spans="1:14" x14ac:dyDescent="0.25">
      <c r="B23" s="160"/>
      <c r="C23" s="160"/>
      <c r="E23" s="160"/>
      <c r="F23" s="160"/>
      <c r="H23" s="160"/>
      <c r="I23" s="160"/>
      <c r="K23" s="160"/>
      <c r="L23" s="160"/>
    </row>
    <row r="24" spans="1:14" x14ac:dyDescent="0.25">
      <c r="B24" s="160"/>
      <c r="C24" s="160"/>
      <c r="E24" s="160"/>
      <c r="F24" s="160"/>
      <c r="H24" s="160"/>
      <c r="I24" s="160"/>
      <c r="K24" s="160"/>
      <c r="L24" s="160"/>
    </row>
    <row r="25" spans="1:14" x14ac:dyDescent="0.25">
      <c r="B25" s="160"/>
      <c r="C25" s="160"/>
      <c r="E25" s="160"/>
      <c r="F25" s="160"/>
      <c r="H25" s="160"/>
      <c r="I25" s="160"/>
      <c r="K25" s="160"/>
      <c r="L25" s="160"/>
    </row>
    <row r="26" spans="1:14" x14ac:dyDescent="0.25">
      <c r="B26" s="160"/>
      <c r="C26" s="160"/>
      <c r="E26" s="160"/>
      <c r="F26" s="160"/>
      <c r="H26" s="160"/>
      <c r="I26" s="160"/>
      <c r="K26" s="160"/>
      <c r="L26" s="160"/>
    </row>
    <row r="27" spans="1:14" x14ac:dyDescent="0.25">
      <c r="B27" s="160"/>
      <c r="C27" s="160"/>
      <c r="E27" s="160"/>
      <c r="F27" s="160"/>
      <c r="H27" s="160"/>
      <c r="I27" s="160"/>
      <c r="K27" s="160"/>
      <c r="L27" s="160"/>
    </row>
    <row r="28" spans="1:14" x14ac:dyDescent="0.25">
      <c r="B28" s="160"/>
      <c r="C28" s="160"/>
      <c r="E28" s="160"/>
      <c r="F28" s="160"/>
      <c r="H28" s="160"/>
      <c r="I28" s="160"/>
      <c r="K28" s="160"/>
      <c r="L28" s="160"/>
    </row>
    <row r="29" spans="1:14" x14ac:dyDescent="0.25">
      <c r="B29" s="160"/>
      <c r="C29" s="160"/>
      <c r="E29" s="160"/>
      <c r="F29" s="160"/>
      <c r="H29" s="160"/>
      <c r="I29" s="160"/>
      <c r="K29" s="160"/>
      <c r="L29" s="160"/>
    </row>
    <row r="30" spans="1:14" x14ac:dyDescent="0.25">
      <c r="B30" s="160"/>
      <c r="C30" s="160"/>
      <c r="E30" s="160"/>
      <c r="F30" s="160"/>
      <c r="H30" s="160"/>
      <c r="I30" s="160"/>
      <c r="K30" s="160"/>
      <c r="L30" s="160"/>
    </row>
    <row r="31" spans="1:14" x14ac:dyDescent="0.25">
      <c r="B31" s="160"/>
      <c r="C31" s="160"/>
      <c r="E31" s="160"/>
      <c r="F31" s="160"/>
      <c r="H31" s="160"/>
      <c r="I31" s="160"/>
      <c r="K31" s="160"/>
      <c r="L31" s="160"/>
    </row>
    <row r="32" spans="1:14" x14ac:dyDescent="0.25">
      <c r="B32" s="160"/>
      <c r="C32" s="160"/>
      <c r="E32" s="160"/>
      <c r="F32" s="160"/>
      <c r="H32" s="160"/>
      <c r="I32" s="160"/>
      <c r="K32" s="160"/>
      <c r="L32" s="160"/>
    </row>
    <row r="33" spans="2:12" x14ac:dyDescent="0.25">
      <c r="B33" s="160"/>
      <c r="C33" s="160"/>
      <c r="E33" s="160"/>
      <c r="F33" s="160"/>
      <c r="H33" s="160"/>
      <c r="I33" s="160"/>
      <c r="K33" s="160"/>
      <c r="L33" s="160"/>
    </row>
    <row r="34" spans="2:12" x14ac:dyDescent="0.25">
      <c r="B34" s="160"/>
      <c r="C34" s="160"/>
      <c r="E34" s="160"/>
      <c r="F34" s="160"/>
      <c r="H34" s="160"/>
      <c r="I34" s="160"/>
      <c r="K34" s="160"/>
      <c r="L34" s="160"/>
    </row>
    <row r="35" spans="2:12" x14ac:dyDescent="0.25">
      <c r="B35" s="160"/>
      <c r="C35" s="160"/>
      <c r="E35" s="160"/>
      <c r="F35" s="160"/>
      <c r="H35" s="160"/>
      <c r="I35" s="160"/>
      <c r="K35" s="160"/>
      <c r="L35" s="160"/>
    </row>
    <row r="36" spans="2:12" x14ac:dyDescent="0.25">
      <c r="B36" s="160"/>
      <c r="C36" s="160"/>
      <c r="E36" s="160"/>
      <c r="F36" s="160"/>
      <c r="H36" s="160"/>
      <c r="I36" s="160"/>
      <c r="K36" s="160"/>
      <c r="L36" s="160"/>
    </row>
    <row r="37" spans="2:12" x14ac:dyDescent="0.25">
      <c r="B37" s="160"/>
      <c r="C37" s="160"/>
      <c r="E37" s="160"/>
      <c r="F37" s="160"/>
      <c r="H37" s="160"/>
      <c r="I37" s="160"/>
      <c r="K37" s="160"/>
      <c r="L37" s="160"/>
    </row>
    <row r="38" spans="2:12" x14ac:dyDescent="0.25">
      <c r="B38" s="160"/>
      <c r="C38" s="160"/>
      <c r="E38" s="160"/>
      <c r="F38" s="160"/>
      <c r="H38" s="160"/>
      <c r="I38" s="160"/>
      <c r="K38" s="160"/>
      <c r="L38" s="160"/>
    </row>
    <row r="39" spans="2:12" x14ac:dyDescent="0.25">
      <c r="B39" s="160"/>
      <c r="C39" s="160"/>
      <c r="E39" s="160"/>
      <c r="F39" s="160"/>
      <c r="H39" s="160"/>
      <c r="I39" s="160"/>
      <c r="K39" s="160"/>
      <c r="L39" s="160"/>
    </row>
    <row r="40" spans="2:12" x14ac:dyDescent="0.25">
      <c r="B40" s="160"/>
      <c r="C40" s="160"/>
      <c r="E40" s="160"/>
      <c r="F40" s="160"/>
      <c r="H40" s="160"/>
      <c r="I40" s="160"/>
      <c r="K40" s="160"/>
      <c r="L40" s="160"/>
    </row>
    <row r="41" spans="2:12" x14ac:dyDescent="0.25">
      <c r="B41" s="160"/>
      <c r="C41" s="160"/>
      <c r="E41" s="160"/>
      <c r="F41" s="160"/>
      <c r="H41" s="160"/>
      <c r="I41" s="160"/>
      <c r="K41" s="160"/>
      <c r="L41" s="160"/>
    </row>
    <row r="42" spans="2:12" x14ac:dyDescent="0.25">
      <c r="B42" s="160"/>
      <c r="C42" s="160"/>
      <c r="E42" s="160"/>
      <c r="F42" s="160"/>
      <c r="H42" s="160"/>
      <c r="I42" s="160"/>
      <c r="K42" s="160"/>
      <c r="L42" s="160"/>
    </row>
    <row r="43" spans="2:12" x14ac:dyDescent="0.25">
      <c r="B43" s="160"/>
      <c r="C43" s="160"/>
      <c r="E43" s="160"/>
      <c r="F43" s="160"/>
      <c r="H43" s="160"/>
      <c r="I43" s="160"/>
      <c r="K43" s="160"/>
      <c r="L43" s="160"/>
    </row>
    <row r="44" spans="2:12" x14ac:dyDescent="0.25">
      <c r="B44" s="160"/>
      <c r="C44" s="160"/>
      <c r="E44" s="160"/>
      <c r="F44" s="160"/>
      <c r="H44" s="160"/>
      <c r="I44" s="160"/>
      <c r="K44" s="160"/>
      <c r="L44" s="160"/>
    </row>
    <row r="45" spans="2:12" x14ac:dyDescent="0.25">
      <c r="B45" s="160"/>
      <c r="C45" s="160"/>
      <c r="E45" s="160"/>
      <c r="F45" s="160"/>
      <c r="H45" s="160"/>
      <c r="I45" s="160"/>
      <c r="K45" s="160"/>
      <c r="L45" s="160"/>
    </row>
    <row r="46" spans="2:12" x14ac:dyDescent="0.25">
      <c r="B46" s="160"/>
      <c r="C46" s="160"/>
      <c r="E46" s="160"/>
      <c r="F46" s="160"/>
      <c r="H46" s="160"/>
      <c r="I46" s="160"/>
      <c r="K46" s="160"/>
      <c r="L46" s="160"/>
    </row>
    <row r="47" spans="2:12" x14ac:dyDescent="0.25">
      <c r="B47" s="160"/>
      <c r="C47" s="160"/>
      <c r="E47" s="160"/>
      <c r="F47" s="160"/>
      <c r="H47" s="160"/>
      <c r="I47" s="160"/>
      <c r="K47" s="160"/>
      <c r="L47" s="160"/>
    </row>
    <row r="48" spans="2:12" x14ac:dyDescent="0.25">
      <c r="B48" s="160"/>
      <c r="C48" s="160"/>
      <c r="E48" s="160"/>
      <c r="F48" s="160"/>
      <c r="H48" s="160"/>
      <c r="I48" s="160"/>
      <c r="K48" s="160"/>
      <c r="L48" s="160"/>
    </row>
    <row r="49" spans="2:12" x14ac:dyDescent="0.25">
      <c r="B49" s="160"/>
      <c r="C49" s="160"/>
      <c r="E49" s="160"/>
      <c r="F49" s="160"/>
      <c r="H49" s="160"/>
      <c r="I49" s="160"/>
      <c r="K49" s="160"/>
      <c r="L49" s="160"/>
    </row>
    <row r="50" spans="2:12" x14ac:dyDescent="0.25">
      <c r="B50" s="160"/>
      <c r="C50" s="160"/>
      <c r="E50" s="160"/>
      <c r="F50" s="160"/>
      <c r="H50" s="160"/>
      <c r="I50" s="160"/>
      <c r="K50" s="160"/>
      <c r="L50" s="160"/>
    </row>
    <row r="51" spans="2:12" x14ac:dyDescent="0.25">
      <c r="B51" s="160"/>
      <c r="C51" s="160"/>
      <c r="E51" s="160"/>
      <c r="F51" s="160"/>
      <c r="H51" s="160"/>
      <c r="I51" s="160"/>
      <c r="K51" s="160"/>
      <c r="L51" s="160"/>
    </row>
    <row r="52" spans="2:12" x14ac:dyDescent="0.25">
      <c r="B52" s="160"/>
      <c r="C52" s="160"/>
      <c r="E52" s="160"/>
      <c r="F52" s="160"/>
      <c r="H52" s="160"/>
      <c r="I52" s="160"/>
      <c r="K52" s="160"/>
      <c r="L52" s="160"/>
    </row>
    <row r="53" spans="2:12" x14ac:dyDescent="0.25">
      <c r="B53" s="160"/>
      <c r="C53" s="160"/>
      <c r="E53" s="160"/>
      <c r="F53" s="160"/>
      <c r="H53" s="160"/>
      <c r="I53" s="160"/>
      <c r="K53" s="160"/>
      <c r="L53" s="160"/>
    </row>
    <row r="54" spans="2:12" x14ac:dyDescent="0.25">
      <c r="B54" s="160"/>
      <c r="C54" s="160"/>
      <c r="E54" s="160"/>
      <c r="F54" s="160"/>
      <c r="H54" s="160"/>
      <c r="I54" s="160"/>
      <c r="K54" s="160"/>
      <c r="L54" s="160"/>
    </row>
    <row r="55" spans="2:12" x14ac:dyDescent="0.25">
      <c r="B55" s="160"/>
      <c r="C55" s="160"/>
      <c r="E55" s="160"/>
      <c r="F55" s="160"/>
      <c r="H55" s="160"/>
      <c r="I55" s="160"/>
      <c r="K55" s="160"/>
      <c r="L55" s="160"/>
    </row>
    <row r="56" spans="2:12" x14ac:dyDescent="0.25">
      <c r="B56" s="160"/>
      <c r="C56" s="160"/>
      <c r="E56" s="160"/>
      <c r="F56" s="160"/>
      <c r="H56" s="160"/>
      <c r="I56" s="160"/>
      <c r="K56" s="160"/>
      <c r="L56" s="160"/>
    </row>
    <row r="57" spans="2:12" x14ac:dyDescent="0.25">
      <c r="B57" s="160"/>
      <c r="C57" s="160"/>
      <c r="E57" s="160"/>
      <c r="F57" s="160"/>
      <c r="H57" s="160"/>
      <c r="I57" s="160"/>
      <c r="K57" s="160"/>
      <c r="L57" s="160"/>
    </row>
    <row r="58" spans="2:12" x14ac:dyDescent="0.25">
      <c r="B58" s="160"/>
      <c r="C58" s="160"/>
      <c r="E58" s="160"/>
      <c r="F58" s="160"/>
      <c r="H58" s="160"/>
      <c r="I58" s="160"/>
      <c r="K58" s="160"/>
      <c r="L58" s="160"/>
    </row>
    <row r="59" spans="2:12" x14ac:dyDescent="0.25">
      <c r="B59" s="160"/>
      <c r="C59" s="160"/>
      <c r="E59" s="160"/>
      <c r="F59" s="160"/>
      <c r="H59" s="160"/>
      <c r="I59" s="160"/>
      <c r="K59" s="160"/>
      <c r="L59" s="160"/>
    </row>
    <row r="60" spans="2:12" x14ac:dyDescent="0.25">
      <c r="B60" s="160"/>
      <c r="C60" s="160"/>
      <c r="E60" s="160"/>
      <c r="F60" s="160"/>
      <c r="H60" s="160"/>
      <c r="I60" s="160"/>
      <c r="K60" s="160"/>
      <c r="L60" s="160"/>
    </row>
    <row r="61" spans="2:12" x14ac:dyDescent="0.25">
      <c r="B61" s="160"/>
      <c r="C61" s="160"/>
      <c r="E61" s="160"/>
      <c r="F61" s="160"/>
      <c r="H61" s="160"/>
      <c r="I61" s="160"/>
      <c r="K61" s="160"/>
      <c r="L61" s="160"/>
    </row>
    <row r="62" spans="2:12" x14ac:dyDescent="0.25">
      <c r="B62" s="160"/>
      <c r="C62" s="160"/>
      <c r="E62" s="160"/>
      <c r="F62" s="160"/>
      <c r="H62" s="160"/>
      <c r="I62" s="160"/>
      <c r="K62" s="160"/>
      <c r="L62" s="160"/>
    </row>
    <row r="63" spans="2:12" x14ac:dyDescent="0.25">
      <c r="B63" s="160"/>
      <c r="C63" s="160"/>
      <c r="E63" s="160"/>
      <c r="F63" s="160"/>
      <c r="H63" s="160"/>
      <c r="I63" s="160"/>
      <c r="K63" s="160"/>
      <c r="L63" s="160"/>
    </row>
    <row r="64" spans="2:12" x14ac:dyDescent="0.25">
      <c r="B64" s="160"/>
      <c r="C64" s="160"/>
      <c r="E64" s="160"/>
      <c r="F64" s="160"/>
      <c r="H64" s="160"/>
      <c r="I64" s="160"/>
      <c r="K64" s="160"/>
      <c r="L64" s="160"/>
    </row>
    <row r="65" spans="2:12" x14ac:dyDescent="0.25">
      <c r="B65" s="160"/>
      <c r="C65" s="160"/>
      <c r="E65" s="160"/>
      <c r="F65" s="160"/>
      <c r="H65" s="160"/>
      <c r="I65" s="160"/>
      <c r="K65" s="160"/>
      <c r="L65" s="160"/>
    </row>
    <row r="66" spans="2:12" x14ac:dyDescent="0.25">
      <c r="B66" s="160"/>
      <c r="C66" s="160"/>
      <c r="E66" s="160"/>
      <c r="F66" s="160"/>
      <c r="H66" s="160"/>
      <c r="I66" s="160"/>
      <c r="K66" s="160"/>
      <c r="L66" s="160"/>
    </row>
    <row r="67" spans="2:12" x14ac:dyDescent="0.25">
      <c r="B67" s="160"/>
      <c r="C67" s="160"/>
      <c r="E67" s="160"/>
      <c r="F67" s="160"/>
      <c r="H67" s="160"/>
      <c r="I67" s="160"/>
      <c r="K67" s="160"/>
      <c r="L67" s="160"/>
    </row>
    <row r="68" spans="2:12" x14ac:dyDescent="0.25">
      <c r="B68" s="160"/>
      <c r="C68" s="160"/>
      <c r="E68" s="160"/>
      <c r="F68" s="160"/>
      <c r="H68" s="160"/>
      <c r="I68" s="160"/>
      <c r="K68" s="160"/>
      <c r="L68" s="160"/>
    </row>
    <row r="69" spans="2:12" x14ac:dyDescent="0.25">
      <c r="B69" s="160"/>
      <c r="C69" s="160"/>
      <c r="E69" s="160"/>
      <c r="F69" s="160"/>
      <c r="H69" s="160"/>
      <c r="I69" s="160"/>
      <c r="K69" s="160"/>
      <c r="L69" s="160"/>
    </row>
    <row r="70" spans="2:12" x14ac:dyDescent="0.25">
      <c r="B70" s="160"/>
      <c r="C70" s="160"/>
      <c r="E70" s="160"/>
      <c r="F70" s="160"/>
      <c r="H70" s="160"/>
      <c r="I70" s="160"/>
      <c r="K70" s="160"/>
      <c r="L70" s="160"/>
    </row>
    <row r="71" spans="2:12" x14ac:dyDescent="0.25">
      <c r="B71" s="160"/>
      <c r="C71" s="160"/>
      <c r="E71" s="160"/>
      <c r="F71" s="160"/>
      <c r="H71" s="160"/>
      <c r="I71" s="160"/>
      <c r="K71" s="160"/>
      <c r="L71" s="160"/>
    </row>
    <row r="72" spans="2:12" x14ac:dyDescent="0.25">
      <c r="B72" s="160"/>
      <c r="C72" s="160"/>
      <c r="E72" s="160"/>
      <c r="F72" s="160"/>
      <c r="H72" s="160"/>
      <c r="I72" s="160"/>
      <c r="K72" s="160"/>
      <c r="L72" s="160"/>
    </row>
    <row r="73" spans="2:12" x14ac:dyDescent="0.25">
      <c r="B73" s="160"/>
      <c r="C73" s="160"/>
      <c r="E73" s="160"/>
      <c r="F73" s="160"/>
      <c r="H73" s="160"/>
      <c r="I73" s="160"/>
      <c r="K73" s="160"/>
      <c r="L73" s="160"/>
    </row>
    <row r="74" spans="2:12" x14ac:dyDescent="0.25">
      <c r="B74" s="160"/>
      <c r="C74" s="160"/>
      <c r="E74" s="160"/>
      <c r="F74" s="160"/>
      <c r="H74" s="160"/>
      <c r="I74" s="160"/>
      <c r="K74" s="160"/>
      <c r="L74" s="160"/>
    </row>
    <row r="75" spans="2:12" x14ac:dyDescent="0.25">
      <c r="B75" s="160"/>
      <c r="C75" s="160"/>
      <c r="E75" s="160"/>
      <c r="F75" s="160"/>
      <c r="H75" s="160"/>
      <c r="I75" s="160"/>
      <c r="K75" s="160"/>
      <c r="L75" s="160"/>
    </row>
    <row r="76" spans="2:12" x14ac:dyDescent="0.25">
      <c r="B76" s="160"/>
      <c r="C76" s="160"/>
      <c r="E76" s="160"/>
      <c r="F76" s="160"/>
      <c r="H76" s="160"/>
      <c r="I76" s="160"/>
      <c r="K76" s="160"/>
      <c r="L76" s="160"/>
    </row>
    <row r="77" spans="2:12" x14ac:dyDescent="0.25">
      <c r="B77" s="160"/>
      <c r="C77" s="160"/>
      <c r="E77" s="160"/>
      <c r="F77" s="160"/>
      <c r="H77" s="160"/>
      <c r="I77" s="160"/>
      <c r="K77" s="160"/>
      <c r="L77" s="160"/>
    </row>
    <row r="78" spans="2:12" x14ac:dyDescent="0.25">
      <c r="B78" s="160"/>
      <c r="C78" s="160"/>
      <c r="E78" s="160"/>
      <c r="F78" s="160"/>
      <c r="H78" s="160"/>
      <c r="I78" s="160"/>
      <c r="K78" s="160"/>
      <c r="L78" s="160"/>
    </row>
    <row r="79" spans="2:12" x14ac:dyDescent="0.25">
      <c r="B79" s="160"/>
      <c r="C79" s="160"/>
      <c r="E79" s="160"/>
      <c r="F79" s="160"/>
      <c r="H79" s="160"/>
      <c r="I79" s="160"/>
      <c r="K79" s="160"/>
      <c r="L79" s="160"/>
    </row>
    <row r="80" spans="2:12" x14ac:dyDescent="0.25">
      <c r="B80" s="160"/>
      <c r="C80" s="160"/>
      <c r="E80" s="160"/>
      <c r="F80" s="160"/>
      <c r="H80" s="160"/>
      <c r="I80" s="160"/>
      <c r="K80" s="160"/>
      <c r="L80" s="160"/>
    </row>
    <row r="81" spans="2:12" x14ac:dyDescent="0.25">
      <c r="B81" s="160"/>
      <c r="C81" s="160"/>
      <c r="E81" s="160"/>
      <c r="F81" s="160"/>
      <c r="H81" s="160"/>
      <c r="I81" s="160"/>
      <c r="K81" s="160"/>
      <c r="L81" s="160"/>
    </row>
    <row r="82" spans="2:12" x14ac:dyDescent="0.25">
      <c r="B82" s="160"/>
      <c r="C82" s="160"/>
      <c r="E82" s="160"/>
      <c r="F82" s="160"/>
      <c r="H82" s="160"/>
      <c r="I82" s="160"/>
      <c r="K82" s="160"/>
      <c r="L82" s="160"/>
    </row>
    <row r="83" spans="2:12" x14ac:dyDescent="0.25">
      <c r="B83" s="160"/>
      <c r="C83" s="160"/>
      <c r="E83" s="160"/>
      <c r="F83" s="160"/>
      <c r="H83" s="160"/>
      <c r="I83" s="160"/>
      <c r="K83" s="160"/>
      <c r="L83" s="160"/>
    </row>
    <row r="84" spans="2:12" x14ac:dyDescent="0.25">
      <c r="B84" s="160"/>
      <c r="C84" s="160"/>
      <c r="E84" s="160"/>
      <c r="F84" s="160"/>
      <c r="H84" s="160"/>
      <c r="I84" s="160"/>
      <c r="K84" s="160"/>
      <c r="L84" s="160"/>
    </row>
    <row r="85" spans="2:12" x14ac:dyDescent="0.25">
      <c r="B85" s="160"/>
      <c r="C85" s="160"/>
      <c r="E85" s="160"/>
      <c r="F85" s="160"/>
      <c r="H85" s="160"/>
      <c r="I85" s="160"/>
      <c r="K85" s="160"/>
      <c r="L85" s="160"/>
    </row>
    <row r="86" spans="2:12" x14ac:dyDescent="0.25">
      <c r="B86" s="160"/>
      <c r="C86" s="160"/>
      <c r="E86" s="160"/>
      <c r="F86" s="160"/>
      <c r="H86" s="160"/>
      <c r="I86" s="160"/>
      <c r="K86" s="160"/>
      <c r="L86" s="160"/>
    </row>
    <row r="87" spans="2:12" x14ac:dyDescent="0.25">
      <c r="B87" s="160"/>
      <c r="C87" s="160"/>
      <c r="E87" s="160"/>
      <c r="F87" s="160"/>
      <c r="H87" s="160"/>
      <c r="I87" s="160"/>
      <c r="K87" s="160"/>
      <c r="L87" s="160"/>
    </row>
    <row r="88" spans="2:12" x14ac:dyDescent="0.25">
      <c r="B88" s="160"/>
      <c r="C88" s="160"/>
      <c r="E88" s="160"/>
      <c r="F88" s="160"/>
      <c r="H88" s="160"/>
      <c r="I88" s="160"/>
      <c r="K88" s="160"/>
      <c r="L88" s="160"/>
    </row>
    <row r="89" spans="2:12" x14ac:dyDescent="0.25">
      <c r="B89" s="160"/>
      <c r="C89" s="160"/>
      <c r="E89" s="160"/>
      <c r="F89" s="160"/>
      <c r="H89" s="160"/>
      <c r="I89" s="160"/>
      <c r="K89" s="160"/>
      <c r="L89" s="160"/>
    </row>
    <row r="90" spans="2:12" x14ac:dyDescent="0.25">
      <c r="B90" s="160"/>
      <c r="C90" s="160"/>
      <c r="E90" s="160"/>
      <c r="F90" s="160"/>
      <c r="H90" s="160"/>
      <c r="I90" s="160"/>
      <c r="K90" s="160"/>
      <c r="L90" s="160"/>
    </row>
    <row r="91" spans="2:12" x14ac:dyDescent="0.25">
      <c r="B91" s="160"/>
      <c r="C91" s="160"/>
      <c r="E91" s="160"/>
      <c r="F91" s="160"/>
      <c r="H91" s="160"/>
      <c r="I91" s="160"/>
      <c r="K91" s="160"/>
      <c r="L91" s="160"/>
    </row>
    <row r="92" spans="2:12" x14ac:dyDescent="0.25">
      <c r="B92" s="160"/>
      <c r="C92" s="160"/>
      <c r="E92" s="160"/>
      <c r="F92" s="160"/>
      <c r="H92" s="160"/>
      <c r="I92" s="160"/>
      <c r="K92" s="160"/>
      <c r="L92" s="160"/>
    </row>
    <row r="93" spans="2:12" x14ac:dyDescent="0.25">
      <c r="B93" s="160"/>
      <c r="C93" s="160"/>
      <c r="E93" s="160"/>
      <c r="F93" s="160"/>
      <c r="H93" s="160"/>
      <c r="I93" s="160"/>
      <c r="K93" s="160"/>
      <c r="L93" s="160"/>
    </row>
    <row r="94" spans="2:12" x14ac:dyDescent="0.25">
      <c r="B94" s="160"/>
      <c r="C94" s="160"/>
      <c r="E94" s="160"/>
      <c r="F94" s="160"/>
      <c r="H94" s="160"/>
      <c r="I94" s="160"/>
      <c r="K94" s="160"/>
      <c r="L94" s="160"/>
    </row>
    <row r="95" spans="2:12" x14ac:dyDescent="0.25">
      <c r="B95" s="160"/>
      <c r="C95" s="160"/>
      <c r="E95" s="160"/>
      <c r="F95" s="160"/>
      <c r="H95" s="160"/>
      <c r="I95" s="160"/>
      <c r="K95" s="160"/>
      <c r="L95" s="160"/>
    </row>
    <row r="96" spans="2:12" x14ac:dyDescent="0.25">
      <c r="B96" s="160"/>
      <c r="C96" s="160"/>
      <c r="E96" s="160"/>
      <c r="F96" s="160"/>
      <c r="H96" s="160"/>
      <c r="I96" s="160"/>
      <c r="K96" s="160"/>
      <c r="L96" s="160"/>
    </row>
    <row r="97" spans="2:12" x14ac:dyDescent="0.25">
      <c r="B97" s="160"/>
      <c r="C97" s="160"/>
      <c r="E97" s="160"/>
      <c r="F97" s="160"/>
      <c r="H97" s="160"/>
      <c r="I97" s="160"/>
      <c r="K97" s="160"/>
      <c r="L97" s="160"/>
    </row>
    <row r="98" spans="2:12" x14ac:dyDescent="0.25">
      <c r="B98" s="160"/>
      <c r="C98" s="160"/>
      <c r="E98" s="160"/>
      <c r="F98" s="160"/>
      <c r="H98" s="160"/>
      <c r="I98" s="160"/>
      <c r="K98" s="160"/>
      <c r="L98" s="160"/>
    </row>
    <row r="99" spans="2:12" x14ac:dyDescent="0.25">
      <c r="B99" s="160"/>
      <c r="C99" s="160"/>
      <c r="E99" s="160"/>
      <c r="F99" s="160"/>
      <c r="H99" s="160"/>
      <c r="I99" s="160"/>
      <c r="K99" s="160"/>
      <c r="L99" s="160"/>
    </row>
    <row r="100" spans="2:12" x14ac:dyDescent="0.25">
      <c r="B100" s="160"/>
      <c r="C100" s="160"/>
      <c r="E100" s="160"/>
      <c r="F100" s="160"/>
      <c r="H100" s="160"/>
      <c r="I100" s="160"/>
      <c r="K100" s="160"/>
      <c r="L100" s="160"/>
    </row>
    <row r="101" spans="2:12" x14ac:dyDescent="0.25">
      <c r="B101" s="160"/>
      <c r="C101" s="160"/>
      <c r="E101" s="160"/>
      <c r="F101" s="160"/>
      <c r="H101" s="160"/>
      <c r="I101" s="160"/>
      <c r="K101" s="160"/>
      <c r="L101" s="160"/>
    </row>
    <row r="102" spans="2:12" x14ac:dyDescent="0.25">
      <c r="B102" s="160"/>
      <c r="C102" s="160"/>
      <c r="E102" s="160"/>
      <c r="F102" s="160"/>
      <c r="H102" s="160"/>
      <c r="I102" s="160"/>
      <c r="K102" s="160"/>
      <c r="L102" s="160"/>
    </row>
    <row r="103" spans="2:12" x14ac:dyDescent="0.25">
      <c r="B103" s="160"/>
      <c r="C103" s="160"/>
      <c r="E103" s="160"/>
      <c r="F103" s="160"/>
      <c r="H103" s="160"/>
      <c r="I103" s="160"/>
      <c r="K103" s="160"/>
      <c r="L103" s="160"/>
    </row>
    <row r="104" spans="2:12" x14ac:dyDescent="0.25">
      <c r="B104" s="160"/>
      <c r="C104" s="160"/>
      <c r="E104" s="160"/>
      <c r="F104" s="160"/>
      <c r="H104" s="160"/>
      <c r="I104" s="160"/>
      <c r="K104" s="160"/>
      <c r="L104" s="160"/>
    </row>
    <row r="105" spans="2:12" x14ac:dyDescent="0.25">
      <c r="B105" s="160"/>
      <c r="C105" s="160"/>
      <c r="E105" s="160"/>
      <c r="F105" s="160"/>
      <c r="H105" s="160"/>
      <c r="I105" s="160"/>
      <c r="K105" s="160"/>
      <c r="L105" s="160"/>
    </row>
    <row r="106" spans="2:12" x14ac:dyDescent="0.25">
      <c r="B106" s="160"/>
      <c r="C106" s="160"/>
      <c r="E106" s="160"/>
      <c r="F106" s="160"/>
      <c r="H106" s="160"/>
      <c r="I106" s="160"/>
      <c r="K106" s="160"/>
      <c r="L106" s="160"/>
    </row>
    <row r="107" spans="2:12" x14ac:dyDescent="0.25">
      <c r="B107" s="160"/>
      <c r="C107" s="160"/>
      <c r="E107" s="160"/>
      <c r="F107" s="160"/>
      <c r="H107" s="160"/>
      <c r="I107" s="160"/>
      <c r="K107" s="160"/>
      <c r="L107" s="160"/>
    </row>
    <row r="108" spans="2:12" x14ac:dyDescent="0.25">
      <c r="B108" s="160"/>
      <c r="C108" s="160"/>
      <c r="E108" s="160"/>
      <c r="F108" s="160"/>
      <c r="H108" s="160"/>
      <c r="I108" s="160"/>
      <c r="K108" s="160"/>
      <c r="L108" s="160"/>
    </row>
    <row r="109" spans="2:12" x14ac:dyDescent="0.25">
      <c r="B109" s="160"/>
      <c r="C109" s="160"/>
      <c r="E109" s="160"/>
      <c r="F109" s="160"/>
      <c r="H109" s="160"/>
      <c r="I109" s="160"/>
      <c r="K109" s="160"/>
      <c r="L109" s="160"/>
    </row>
    <row r="110" spans="2:12" x14ac:dyDescent="0.25">
      <c r="B110" s="160"/>
      <c r="C110" s="160"/>
      <c r="E110" s="160"/>
      <c r="F110" s="160"/>
      <c r="H110" s="160"/>
      <c r="I110" s="160"/>
      <c r="K110" s="160"/>
      <c r="L110" s="160"/>
    </row>
    <row r="111" spans="2:12" x14ac:dyDescent="0.25">
      <c r="B111" s="160"/>
      <c r="C111" s="160"/>
      <c r="E111" s="160"/>
      <c r="F111" s="160"/>
      <c r="H111" s="160"/>
      <c r="I111" s="160"/>
      <c r="K111" s="160"/>
      <c r="L111" s="160"/>
    </row>
    <row r="112" spans="2:12" x14ac:dyDescent="0.25">
      <c r="B112" s="160"/>
      <c r="C112" s="160"/>
      <c r="E112" s="160"/>
      <c r="F112" s="160"/>
      <c r="H112" s="160"/>
      <c r="I112" s="160"/>
      <c r="K112" s="160"/>
      <c r="L112" s="160"/>
    </row>
    <row r="113" spans="2:12" x14ac:dyDescent="0.25">
      <c r="B113" s="160"/>
      <c r="C113" s="160"/>
      <c r="E113" s="160"/>
      <c r="F113" s="160"/>
      <c r="H113" s="160"/>
      <c r="I113" s="160"/>
      <c r="K113" s="160"/>
      <c r="L113" s="160"/>
    </row>
    <row r="114" spans="2:12" x14ac:dyDescent="0.25">
      <c r="B114" s="160"/>
      <c r="C114" s="160"/>
      <c r="E114" s="160"/>
      <c r="F114" s="160"/>
      <c r="H114" s="160"/>
      <c r="I114" s="160"/>
      <c r="K114" s="160"/>
      <c r="L114" s="160"/>
    </row>
    <row r="115" spans="2:12" x14ac:dyDescent="0.25">
      <c r="B115" s="160"/>
      <c r="C115" s="160"/>
      <c r="E115" s="160"/>
      <c r="F115" s="160"/>
      <c r="H115" s="160"/>
      <c r="I115" s="160"/>
      <c r="K115" s="160"/>
      <c r="L115" s="160"/>
    </row>
    <row r="116" spans="2:12" x14ac:dyDescent="0.25">
      <c r="B116" s="160"/>
      <c r="C116" s="160"/>
      <c r="E116" s="160"/>
      <c r="F116" s="160"/>
      <c r="H116" s="160"/>
      <c r="I116" s="160"/>
      <c r="K116" s="160"/>
      <c r="L116" s="160"/>
    </row>
    <row r="117" spans="2:12" x14ac:dyDescent="0.25">
      <c r="B117" s="160"/>
      <c r="C117" s="160"/>
      <c r="E117" s="160"/>
      <c r="F117" s="160"/>
      <c r="H117" s="160"/>
      <c r="I117" s="160"/>
      <c r="K117" s="160"/>
      <c r="L117" s="160"/>
    </row>
    <row r="118" spans="2:12" x14ac:dyDescent="0.25">
      <c r="B118" s="160"/>
      <c r="C118" s="160"/>
      <c r="E118" s="160"/>
      <c r="F118" s="160"/>
      <c r="H118" s="160"/>
      <c r="I118" s="160"/>
      <c r="K118" s="160"/>
      <c r="L118" s="160"/>
    </row>
    <row r="119" spans="2:12" x14ac:dyDescent="0.25">
      <c r="B119" s="160"/>
      <c r="C119" s="160"/>
      <c r="E119" s="160"/>
      <c r="F119" s="160"/>
      <c r="H119" s="160"/>
      <c r="I119" s="160"/>
      <c r="K119" s="160"/>
      <c r="L119" s="160"/>
    </row>
    <row r="120" spans="2:12" x14ac:dyDescent="0.25">
      <c r="B120" s="160"/>
      <c r="C120" s="160"/>
      <c r="E120" s="160"/>
      <c r="F120" s="160"/>
      <c r="H120" s="160"/>
      <c r="I120" s="160"/>
      <c r="K120" s="160"/>
      <c r="L120" s="160"/>
    </row>
    <row r="121" spans="2:12" x14ac:dyDescent="0.25">
      <c r="B121" s="160"/>
      <c r="C121" s="160"/>
      <c r="E121" s="160"/>
      <c r="F121" s="160"/>
      <c r="H121" s="160"/>
      <c r="I121" s="160"/>
      <c r="K121" s="160"/>
      <c r="L121" s="160"/>
    </row>
    <row r="122" spans="2:12" x14ac:dyDescent="0.25">
      <c r="B122" s="160"/>
      <c r="C122" s="160"/>
      <c r="E122" s="160"/>
      <c r="F122" s="160"/>
      <c r="H122" s="160"/>
      <c r="I122" s="160"/>
      <c r="K122" s="160"/>
      <c r="L122" s="160"/>
    </row>
    <row r="123" spans="2:12" x14ac:dyDescent="0.25">
      <c r="B123" s="160"/>
      <c r="C123" s="160"/>
      <c r="E123" s="160"/>
      <c r="F123" s="160"/>
      <c r="H123" s="160"/>
      <c r="I123" s="160"/>
      <c r="K123" s="160"/>
      <c r="L123" s="160"/>
    </row>
    <row r="124" spans="2:12" x14ac:dyDescent="0.25">
      <c r="B124" s="160"/>
      <c r="C124" s="160"/>
      <c r="E124" s="160"/>
      <c r="F124" s="160"/>
      <c r="H124" s="160"/>
      <c r="I124" s="160"/>
      <c r="K124" s="160"/>
      <c r="L124" s="160"/>
    </row>
    <row r="125" spans="2:12" x14ac:dyDescent="0.25">
      <c r="B125" s="160"/>
      <c r="C125" s="160"/>
      <c r="E125" s="160"/>
      <c r="F125" s="160"/>
      <c r="H125" s="160"/>
      <c r="I125" s="160"/>
      <c r="K125" s="160"/>
      <c r="L125" s="160"/>
    </row>
    <row r="126" spans="2:12" x14ac:dyDescent="0.25">
      <c r="B126" s="160"/>
      <c r="C126" s="160"/>
      <c r="E126" s="160"/>
      <c r="F126" s="160"/>
      <c r="H126" s="160"/>
      <c r="I126" s="160"/>
      <c r="K126" s="160"/>
      <c r="L126" s="160"/>
    </row>
    <row r="127" spans="2:12" x14ac:dyDescent="0.25">
      <c r="B127" s="160"/>
      <c r="C127" s="160"/>
      <c r="E127" s="160"/>
      <c r="F127" s="160"/>
      <c r="H127" s="160"/>
      <c r="I127" s="160"/>
      <c r="K127" s="160"/>
      <c r="L127" s="160"/>
    </row>
    <row r="128" spans="2:12" x14ac:dyDescent="0.25">
      <c r="B128" s="160"/>
      <c r="C128" s="160"/>
      <c r="E128" s="160"/>
      <c r="F128" s="160"/>
      <c r="H128" s="160"/>
      <c r="I128" s="160"/>
      <c r="K128" s="160"/>
      <c r="L128" s="160"/>
    </row>
    <row r="129" spans="2:12" x14ac:dyDescent="0.25">
      <c r="B129" s="160"/>
      <c r="C129" s="160"/>
      <c r="E129" s="160"/>
      <c r="F129" s="160"/>
      <c r="H129" s="160"/>
      <c r="I129" s="160"/>
      <c r="K129" s="160"/>
      <c r="L129" s="160"/>
    </row>
    <row r="130" spans="2:12" x14ac:dyDescent="0.25">
      <c r="B130" s="160"/>
      <c r="C130" s="160"/>
      <c r="E130" s="160"/>
      <c r="F130" s="160"/>
      <c r="H130" s="160"/>
      <c r="I130" s="160"/>
      <c r="K130" s="160"/>
      <c r="L130" s="160"/>
    </row>
    <row r="131" spans="2:12" x14ac:dyDescent="0.25">
      <c r="B131" s="160"/>
      <c r="C131" s="160"/>
      <c r="E131" s="160"/>
      <c r="F131" s="160"/>
      <c r="H131" s="160"/>
      <c r="I131" s="160"/>
      <c r="K131" s="160"/>
      <c r="L131" s="160"/>
    </row>
    <row r="132" spans="2:12" x14ac:dyDescent="0.25">
      <c r="B132" s="160"/>
      <c r="C132" s="160"/>
      <c r="E132" s="160"/>
      <c r="F132" s="160"/>
      <c r="H132" s="160"/>
      <c r="I132" s="160"/>
      <c r="K132" s="160"/>
      <c r="L132" s="160"/>
    </row>
    <row r="133" spans="2:12" x14ac:dyDescent="0.25">
      <c r="B133" s="160"/>
      <c r="C133" s="160"/>
      <c r="E133" s="160"/>
      <c r="F133" s="160"/>
      <c r="H133" s="160"/>
      <c r="I133" s="160"/>
      <c r="K133" s="160"/>
      <c r="L133" s="160"/>
    </row>
    <row r="134" spans="2:12" x14ac:dyDescent="0.25">
      <c r="B134" s="160"/>
      <c r="C134" s="160"/>
      <c r="E134" s="160"/>
      <c r="F134" s="160"/>
      <c r="H134" s="160"/>
      <c r="I134" s="160"/>
      <c r="K134" s="160"/>
      <c r="L134" s="160"/>
    </row>
    <row r="135" spans="2:12" x14ac:dyDescent="0.25">
      <c r="B135" s="160"/>
      <c r="C135" s="160"/>
      <c r="E135" s="160"/>
      <c r="F135" s="160"/>
      <c r="H135" s="160"/>
      <c r="I135" s="160"/>
      <c r="K135" s="160"/>
      <c r="L135" s="160"/>
    </row>
    <row r="136" spans="2:12" x14ac:dyDescent="0.25">
      <c r="B136" s="160"/>
      <c r="C136" s="160"/>
      <c r="E136" s="160"/>
      <c r="F136" s="160"/>
      <c r="H136" s="160"/>
      <c r="I136" s="160"/>
      <c r="K136" s="160"/>
      <c r="L136" s="160"/>
    </row>
    <row r="137" spans="2:12" x14ac:dyDescent="0.25">
      <c r="B137" s="160"/>
      <c r="C137" s="160"/>
      <c r="E137" s="160"/>
      <c r="F137" s="160"/>
      <c r="H137" s="160"/>
      <c r="I137" s="160"/>
      <c r="K137" s="160"/>
      <c r="L137" s="160"/>
    </row>
    <row r="138" spans="2:12" x14ac:dyDescent="0.25">
      <c r="B138" s="160"/>
      <c r="C138" s="160"/>
      <c r="E138" s="160"/>
      <c r="F138" s="160"/>
      <c r="H138" s="160"/>
      <c r="I138" s="160"/>
      <c r="K138" s="160"/>
      <c r="L138" s="160"/>
    </row>
    <row r="139" spans="2:12" x14ac:dyDescent="0.25">
      <c r="B139" s="160"/>
      <c r="C139" s="160"/>
      <c r="E139" s="160"/>
      <c r="F139" s="160"/>
      <c r="H139" s="160"/>
      <c r="I139" s="160"/>
      <c r="K139" s="160"/>
      <c r="L139" s="160"/>
    </row>
    <row r="140" spans="2:12" x14ac:dyDescent="0.25">
      <c r="B140" s="160"/>
      <c r="C140" s="160"/>
      <c r="E140" s="160"/>
      <c r="F140" s="160"/>
      <c r="H140" s="160"/>
      <c r="I140" s="160"/>
      <c r="K140" s="160"/>
      <c r="L140" s="160"/>
    </row>
    <row r="141" spans="2:12" x14ac:dyDescent="0.25">
      <c r="B141" s="160"/>
      <c r="C141" s="160"/>
      <c r="E141" s="160"/>
      <c r="F141" s="160"/>
      <c r="H141" s="160"/>
      <c r="I141" s="160"/>
      <c r="K141" s="160"/>
      <c r="L141" s="160"/>
    </row>
    <row r="142" spans="2:12" x14ac:dyDescent="0.25">
      <c r="B142" s="160"/>
      <c r="C142" s="160"/>
      <c r="E142" s="160"/>
      <c r="F142" s="160"/>
      <c r="H142" s="160"/>
      <c r="I142" s="160"/>
      <c r="K142" s="160"/>
      <c r="L142" s="160"/>
    </row>
    <row r="143" spans="2:12" x14ac:dyDescent="0.25">
      <c r="B143" s="160"/>
      <c r="C143" s="160"/>
      <c r="E143" s="160"/>
      <c r="F143" s="160"/>
      <c r="H143" s="160"/>
      <c r="I143" s="160"/>
      <c r="K143" s="160"/>
      <c r="L143" s="160"/>
    </row>
    <row r="144" spans="2:12" x14ac:dyDescent="0.25">
      <c r="B144" s="160"/>
      <c r="C144" s="160"/>
      <c r="E144" s="160"/>
      <c r="F144" s="160"/>
      <c r="H144" s="160"/>
      <c r="I144" s="160"/>
      <c r="K144" s="160"/>
      <c r="L144" s="160"/>
    </row>
    <row r="145" spans="2:12" x14ac:dyDescent="0.25">
      <c r="B145" s="160"/>
      <c r="C145" s="160"/>
      <c r="E145" s="160"/>
      <c r="F145" s="160"/>
      <c r="H145" s="160"/>
      <c r="I145" s="160"/>
      <c r="K145" s="160"/>
      <c r="L145" s="160"/>
    </row>
    <row r="146" spans="2:12" x14ac:dyDescent="0.25">
      <c r="B146" s="160"/>
      <c r="C146" s="160"/>
      <c r="E146" s="160"/>
      <c r="F146" s="160"/>
      <c r="H146" s="160"/>
      <c r="I146" s="160"/>
      <c r="K146" s="160"/>
      <c r="L146" s="160"/>
    </row>
    <row r="147" spans="2:12" x14ac:dyDescent="0.25">
      <c r="B147" s="160"/>
      <c r="C147" s="160"/>
      <c r="E147" s="160"/>
      <c r="F147" s="160"/>
      <c r="H147" s="160"/>
      <c r="I147" s="160"/>
      <c r="K147" s="160"/>
      <c r="L147" s="160"/>
    </row>
    <row r="148" spans="2:12" x14ac:dyDescent="0.25">
      <c r="B148" s="160"/>
      <c r="C148" s="160"/>
      <c r="E148" s="160"/>
      <c r="F148" s="160"/>
      <c r="H148" s="160"/>
      <c r="I148" s="160"/>
      <c r="K148" s="160"/>
      <c r="L148" s="160"/>
    </row>
    <row r="149" spans="2:12" x14ac:dyDescent="0.25">
      <c r="B149" s="160"/>
      <c r="C149" s="160"/>
      <c r="E149" s="160"/>
      <c r="F149" s="160"/>
      <c r="H149" s="160"/>
      <c r="I149" s="160"/>
      <c r="K149" s="160"/>
      <c r="L149" s="160"/>
    </row>
    <row r="150" spans="2:12" x14ac:dyDescent="0.25">
      <c r="B150" s="160"/>
      <c r="C150" s="160"/>
      <c r="E150" s="160"/>
      <c r="F150" s="160"/>
      <c r="H150" s="160"/>
      <c r="I150" s="160"/>
      <c r="K150" s="160"/>
      <c r="L150" s="160"/>
    </row>
    <row r="151" spans="2:12" x14ac:dyDescent="0.25">
      <c r="B151" s="160"/>
      <c r="C151" s="160"/>
      <c r="E151" s="160"/>
      <c r="F151" s="160"/>
      <c r="H151" s="160"/>
      <c r="I151" s="160"/>
      <c r="K151" s="160"/>
      <c r="L151" s="160"/>
    </row>
    <row r="152" spans="2:12" x14ac:dyDescent="0.25">
      <c r="B152" s="160"/>
      <c r="C152" s="160"/>
      <c r="E152" s="160"/>
      <c r="F152" s="160"/>
      <c r="H152" s="160"/>
      <c r="I152" s="160"/>
      <c r="K152" s="160"/>
      <c r="L152" s="160"/>
    </row>
    <row r="153" spans="2:12" x14ac:dyDescent="0.25">
      <c r="B153" s="160"/>
      <c r="C153" s="160"/>
      <c r="E153" s="160"/>
      <c r="F153" s="160"/>
      <c r="H153" s="160"/>
      <c r="I153" s="160"/>
      <c r="K153" s="160"/>
      <c r="L153" s="160"/>
    </row>
    <row r="154" spans="2:12" x14ac:dyDescent="0.25">
      <c r="B154" s="160"/>
      <c r="C154" s="160"/>
      <c r="E154" s="160"/>
      <c r="F154" s="160"/>
      <c r="H154" s="160"/>
      <c r="I154" s="160"/>
      <c r="K154" s="160"/>
      <c r="L154" s="160"/>
    </row>
    <row r="155" spans="2:12" x14ac:dyDescent="0.25">
      <c r="B155" s="160"/>
      <c r="C155" s="160"/>
      <c r="E155" s="160"/>
      <c r="F155" s="160"/>
      <c r="H155" s="160"/>
      <c r="I155" s="160"/>
      <c r="K155" s="160"/>
      <c r="L155" s="160"/>
    </row>
    <row r="156" spans="2:12" x14ac:dyDescent="0.25">
      <c r="B156" s="160"/>
      <c r="C156" s="160"/>
      <c r="E156" s="160"/>
      <c r="F156" s="160"/>
      <c r="H156" s="160"/>
      <c r="I156" s="160"/>
      <c r="K156" s="160"/>
      <c r="L156" s="160"/>
    </row>
    <row r="157" spans="2:12" x14ac:dyDescent="0.25">
      <c r="B157" s="160"/>
      <c r="C157" s="160"/>
      <c r="E157" s="160"/>
      <c r="F157" s="160"/>
      <c r="H157" s="160"/>
      <c r="I157" s="160"/>
      <c r="K157" s="160"/>
      <c r="L157" s="160"/>
    </row>
    <row r="158" spans="2:12" x14ac:dyDescent="0.25">
      <c r="B158" s="160"/>
      <c r="C158" s="160"/>
      <c r="E158" s="160"/>
      <c r="F158" s="160"/>
      <c r="H158" s="160"/>
      <c r="I158" s="160"/>
      <c r="K158" s="160"/>
      <c r="L158" s="160"/>
    </row>
    <row r="159" spans="2:12" x14ac:dyDescent="0.25">
      <c r="B159" s="160"/>
      <c r="C159" s="160"/>
      <c r="E159" s="160"/>
      <c r="F159" s="160"/>
      <c r="H159" s="160"/>
      <c r="I159" s="160"/>
      <c r="K159" s="160"/>
      <c r="L159" s="160"/>
    </row>
    <row r="160" spans="2:12" x14ac:dyDescent="0.25">
      <c r="B160" s="160"/>
      <c r="C160" s="160"/>
      <c r="E160" s="160"/>
      <c r="F160" s="160"/>
      <c r="H160" s="160"/>
      <c r="I160" s="160"/>
      <c r="K160" s="160"/>
      <c r="L160" s="160"/>
    </row>
    <row r="161" spans="2:12" x14ac:dyDescent="0.25">
      <c r="B161" s="160"/>
      <c r="C161" s="160"/>
      <c r="E161" s="160"/>
      <c r="F161" s="160"/>
      <c r="H161" s="160"/>
      <c r="I161" s="160"/>
      <c r="K161" s="160"/>
      <c r="L161" s="160"/>
    </row>
    <row r="162" spans="2:12" x14ac:dyDescent="0.25">
      <c r="B162" s="160"/>
      <c r="C162" s="160"/>
      <c r="E162" s="160"/>
      <c r="F162" s="160"/>
      <c r="H162" s="160"/>
      <c r="I162" s="160"/>
      <c r="K162" s="160"/>
      <c r="L162" s="160"/>
    </row>
    <row r="163" spans="2:12" x14ac:dyDescent="0.25">
      <c r="B163" s="160"/>
      <c r="C163" s="160"/>
      <c r="E163" s="160"/>
      <c r="F163" s="160"/>
      <c r="H163" s="160"/>
      <c r="I163" s="160"/>
      <c r="K163" s="160"/>
      <c r="L163" s="160"/>
    </row>
    <row r="164" spans="2:12" x14ac:dyDescent="0.25">
      <c r="B164" s="160"/>
      <c r="C164" s="160"/>
      <c r="E164" s="160"/>
      <c r="F164" s="160"/>
      <c r="H164" s="160"/>
      <c r="I164" s="160"/>
      <c r="K164" s="160"/>
      <c r="L164" s="160"/>
    </row>
    <row r="165" spans="2:12" x14ac:dyDescent="0.25">
      <c r="B165" s="160"/>
      <c r="C165" s="160"/>
      <c r="E165" s="160"/>
      <c r="F165" s="160"/>
      <c r="H165" s="160"/>
      <c r="I165" s="160"/>
      <c r="K165" s="160"/>
      <c r="L165" s="160"/>
    </row>
    <row r="166" spans="2:12" x14ac:dyDescent="0.25">
      <c r="B166" s="160"/>
      <c r="C166" s="160"/>
      <c r="E166" s="160"/>
      <c r="F166" s="160"/>
      <c r="H166" s="160"/>
      <c r="I166" s="160"/>
      <c r="K166" s="160"/>
      <c r="L166" s="160"/>
    </row>
    <row r="167" spans="2:12" x14ac:dyDescent="0.25">
      <c r="B167" s="160"/>
      <c r="C167" s="160"/>
      <c r="E167" s="160"/>
      <c r="F167" s="160"/>
      <c r="H167" s="160"/>
      <c r="I167" s="160"/>
      <c r="K167" s="160"/>
      <c r="L167" s="160"/>
    </row>
    <row r="168" spans="2:12" x14ac:dyDescent="0.25">
      <c r="B168" s="160"/>
      <c r="C168" s="160"/>
      <c r="E168" s="160"/>
      <c r="F168" s="160"/>
      <c r="H168" s="160"/>
      <c r="I168" s="160"/>
      <c r="K168" s="160"/>
      <c r="L168" s="160"/>
    </row>
    <row r="169" spans="2:12" x14ac:dyDescent="0.25">
      <c r="B169" s="160"/>
      <c r="C169" s="160"/>
      <c r="E169" s="160"/>
      <c r="F169" s="160"/>
      <c r="H169" s="160"/>
      <c r="I169" s="160"/>
      <c r="K169" s="160"/>
      <c r="L169" s="160"/>
    </row>
    <row r="170" spans="2:12" x14ac:dyDescent="0.25">
      <c r="B170" s="160"/>
      <c r="C170" s="160"/>
      <c r="E170" s="160"/>
      <c r="F170" s="160"/>
      <c r="H170" s="160"/>
      <c r="I170" s="160"/>
      <c r="K170" s="160"/>
      <c r="L170" s="160"/>
    </row>
    <row r="171" spans="2:12" x14ac:dyDescent="0.25">
      <c r="B171" s="160"/>
      <c r="C171" s="160"/>
      <c r="E171" s="160"/>
      <c r="F171" s="160"/>
      <c r="H171" s="160"/>
      <c r="I171" s="160"/>
      <c r="K171" s="160"/>
      <c r="L171" s="160"/>
    </row>
    <row r="172" spans="2:12" x14ac:dyDescent="0.25">
      <c r="B172" s="160"/>
      <c r="C172" s="160"/>
      <c r="E172" s="160"/>
      <c r="F172" s="160"/>
      <c r="H172" s="160"/>
      <c r="I172" s="160"/>
      <c r="K172" s="160"/>
      <c r="L172" s="160"/>
    </row>
    <row r="173" spans="2:12" x14ac:dyDescent="0.25">
      <c r="B173" s="160"/>
      <c r="C173" s="160"/>
      <c r="E173" s="160"/>
      <c r="F173" s="160"/>
      <c r="H173" s="160"/>
      <c r="I173" s="160"/>
      <c r="K173" s="160"/>
      <c r="L173" s="160"/>
    </row>
    <row r="174" spans="2:12" x14ac:dyDescent="0.25">
      <c r="B174" s="160"/>
      <c r="C174" s="160"/>
      <c r="E174" s="160"/>
      <c r="F174" s="160"/>
      <c r="H174" s="160"/>
      <c r="I174" s="160"/>
      <c r="K174" s="160"/>
      <c r="L174" s="160"/>
    </row>
    <row r="175" spans="2:12" x14ac:dyDescent="0.25">
      <c r="B175" s="160"/>
      <c r="C175" s="160"/>
      <c r="E175" s="160"/>
      <c r="F175" s="160"/>
      <c r="H175" s="160"/>
      <c r="I175" s="160"/>
      <c r="K175" s="160"/>
      <c r="L175" s="160"/>
    </row>
    <row r="176" spans="2:12" x14ac:dyDescent="0.25">
      <c r="B176" s="160"/>
      <c r="C176" s="160"/>
      <c r="E176" s="160"/>
      <c r="F176" s="160"/>
      <c r="H176" s="160"/>
      <c r="I176" s="160"/>
      <c r="K176" s="160"/>
      <c r="L176" s="160"/>
    </row>
    <row r="177" spans="2:12" x14ac:dyDescent="0.25">
      <c r="B177" s="160"/>
      <c r="C177" s="160"/>
      <c r="E177" s="160"/>
      <c r="F177" s="160"/>
      <c r="H177" s="160"/>
      <c r="I177" s="160"/>
      <c r="K177" s="160"/>
      <c r="L177" s="160"/>
    </row>
    <row r="178" spans="2:12" x14ac:dyDescent="0.25">
      <c r="B178" s="160"/>
      <c r="C178" s="160"/>
      <c r="E178" s="160"/>
      <c r="F178" s="160"/>
      <c r="H178" s="160"/>
      <c r="I178" s="160"/>
      <c r="K178" s="160"/>
      <c r="L178" s="160"/>
    </row>
    <row r="179" spans="2:12" x14ac:dyDescent="0.25">
      <c r="B179" s="160"/>
      <c r="C179" s="160"/>
      <c r="E179" s="160"/>
      <c r="F179" s="160"/>
      <c r="H179" s="160"/>
      <c r="I179" s="160"/>
      <c r="K179" s="160"/>
      <c r="L179" s="160"/>
    </row>
    <row r="180" spans="2:12" x14ac:dyDescent="0.25">
      <c r="B180" s="160"/>
      <c r="C180" s="160"/>
      <c r="E180" s="160"/>
      <c r="F180" s="160"/>
      <c r="H180" s="160"/>
      <c r="I180" s="160"/>
      <c r="K180" s="160"/>
      <c r="L180" s="160"/>
    </row>
    <row r="181" spans="2:12" x14ac:dyDescent="0.25">
      <c r="B181" s="160"/>
      <c r="C181" s="160"/>
      <c r="E181" s="160"/>
      <c r="F181" s="160"/>
      <c r="H181" s="160"/>
      <c r="I181" s="160"/>
      <c r="K181" s="160"/>
      <c r="L181" s="160"/>
    </row>
    <row r="182" spans="2:12" x14ac:dyDescent="0.25">
      <c r="B182" s="160"/>
      <c r="C182" s="160"/>
      <c r="E182" s="160"/>
      <c r="F182" s="160"/>
      <c r="H182" s="160"/>
      <c r="I182" s="160"/>
      <c r="K182" s="160"/>
      <c r="L182" s="160"/>
    </row>
    <row r="183" spans="2:12" x14ac:dyDescent="0.25">
      <c r="B183" s="160"/>
      <c r="C183" s="160"/>
      <c r="E183" s="160"/>
      <c r="F183" s="160"/>
      <c r="H183" s="160"/>
      <c r="I183" s="160"/>
      <c r="K183" s="160"/>
      <c r="L183" s="160"/>
    </row>
    <row r="184" spans="2:12" x14ac:dyDescent="0.25">
      <c r="B184" s="160"/>
      <c r="C184" s="160"/>
      <c r="E184" s="160"/>
      <c r="F184" s="160"/>
      <c r="H184" s="160"/>
      <c r="I184" s="160"/>
      <c r="K184" s="160"/>
      <c r="L184" s="160"/>
    </row>
    <row r="185" spans="2:12" x14ac:dyDescent="0.25">
      <c r="B185" s="160"/>
      <c r="C185" s="160"/>
      <c r="E185" s="160"/>
      <c r="F185" s="160"/>
      <c r="H185" s="160"/>
      <c r="I185" s="160"/>
      <c r="K185" s="160"/>
      <c r="L185" s="160"/>
    </row>
    <row r="186" spans="2:12" x14ac:dyDescent="0.25">
      <c r="B186" s="160"/>
      <c r="C186" s="160"/>
      <c r="E186" s="160"/>
      <c r="F186" s="160"/>
      <c r="H186" s="160"/>
      <c r="I186" s="160"/>
      <c r="K186" s="160"/>
      <c r="L186" s="160"/>
    </row>
    <row r="187" spans="2:12" x14ac:dyDescent="0.25">
      <c r="B187" s="160"/>
      <c r="C187" s="160"/>
      <c r="E187" s="160"/>
      <c r="F187" s="160"/>
      <c r="H187" s="160"/>
      <c r="I187" s="160"/>
      <c r="K187" s="160"/>
      <c r="L187" s="160"/>
    </row>
    <row r="188" spans="2:12" x14ac:dyDescent="0.25">
      <c r="B188" s="160"/>
      <c r="C188" s="160"/>
      <c r="E188" s="160"/>
      <c r="F188" s="160"/>
      <c r="H188" s="160"/>
      <c r="I188" s="160"/>
      <c r="K188" s="160"/>
      <c r="L188" s="160"/>
    </row>
    <row r="189" spans="2:12" x14ac:dyDescent="0.25">
      <c r="B189" s="160"/>
      <c r="C189" s="160"/>
      <c r="E189" s="160"/>
      <c r="F189" s="160"/>
      <c r="H189" s="160"/>
      <c r="I189" s="160"/>
      <c r="K189" s="160"/>
      <c r="L189" s="160"/>
    </row>
    <row r="190" spans="2:12" x14ac:dyDescent="0.25">
      <c r="B190" s="160"/>
      <c r="C190" s="160"/>
      <c r="E190" s="160"/>
      <c r="F190" s="160"/>
      <c r="H190" s="160"/>
      <c r="I190" s="160"/>
      <c r="K190" s="160"/>
      <c r="L190" s="160"/>
    </row>
    <row r="191" spans="2:12" x14ac:dyDescent="0.25">
      <c r="B191" s="160"/>
      <c r="C191" s="160"/>
      <c r="E191" s="160"/>
      <c r="F191" s="160"/>
      <c r="H191" s="160"/>
      <c r="I191" s="160"/>
      <c r="K191" s="160"/>
      <c r="L191" s="160"/>
    </row>
    <row r="192" spans="2:12" x14ac:dyDescent="0.25">
      <c r="B192" s="160"/>
      <c r="C192" s="160"/>
      <c r="E192" s="160"/>
      <c r="F192" s="160"/>
      <c r="H192" s="160"/>
      <c r="I192" s="160"/>
      <c r="K192" s="160"/>
      <c r="L192" s="160"/>
    </row>
    <row r="193" spans="2:12" x14ac:dyDescent="0.25">
      <c r="B193" s="160"/>
      <c r="C193" s="160"/>
      <c r="E193" s="160"/>
      <c r="F193" s="160"/>
      <c r="H193" s="160"/>
      <c r="I193" s="160"/>
      <c r="K193" s="160"/>
      <c r="L193" s="160"/>
    </row>
    <row r="194" spans="2:12" x14ac:dyDescent="0.25">
      <c r="B194" s="160"/>
      <c r="C194" s="160"/>
      <c r="E194" s="160"/>
      <c r="F194" s="160"/>
      <c r="H194" s="160"/>
      <c r="I194" s="160"/>
      <c r="K194" s="160"/>
      <c r="L194" s="160"/>
    </row>
    <row r="195" spans="2:12" x14ac:dyDescent="0.25">
      <c r="B195" s="160"/>
      <c r="C195" s="160"/>
      <c r="E195" s="160"/>
      <c r="F195" s="160"/>
      <c r="H195" s="160"/>
      <c r="I195" s="160"/>
      <c r="K195" s="160"/>
      <c r="L195" s="160"/>
    </row>
    <row r="196" spans="2:12" x14ac:dyDescent="0.25">
      <c r="B196" s="160"/>
      <c r="C196" s="160"/>
      <c r="E196" s="160"/>
      <c r="F196" s="160"/>
      <c r="H196" s="160"/>
      <c r="I196" s="160"/>
      <c r="K196" s="160"/>
      <c r="L196" s="160"/>
    </row>
    <row r="197" spans="2:12" x14ac:dyDescent="0.25">
      <c r="B197" s="160"/>
      <c r="C197" s="160"/>
      <c r="E197" s="160"/>
      <c r="F197" s="160"/>
      <c r="H197" s="160"/>
      <c r="I197" s="160"/>
      <c r="K197" s="160"/>
      <c r="L197" s="160"/>
    </row>
    <row r="198" spans="2:12" x14ac:dyDescent="0.25">
      <c r="B198" s="160"/>
      <c r="C198" s="160"/>
      <c r="E198" s="160"/>
      <c r="F198" s="160"/>
      <c r="H198" s="160"/>
      <c r="I198" s="160"/>
      <c r="K198" s="160"/>
      <c r="L198" s="160"/>
    </row>
    <row r="199" spans="2:12" x14ac:dyDescent="0.25">
      <c r="B199" s="160"/>
      <c r="C199" s="160"/>
      <c r="E199" s="160"/>
      <c r="F199" s="160"/>
      <c r="H199" s="160"/>
      <c r="I199" s="160"/>
      <c r="K199" s="160"/>
      <c r="L199" s="160"/>
    </row>
    <row r="200" spans="2:12" x14ac:dyDescent="0.25">
      <c r="B200" s="160"/>
      <c r="C200" s="160"/>
      <c r="E200" s="160"/>
      <c r="F200" s="160"/>
      <c r="H200" s="160"/>
      <c r="I200" s="160"/>
      <c r="K200" s="160"/>
      <c r="L200" s="160"/>
    </row>
    <row r="201" spans="2:12" x14ac:dyDescent="0.25">
      <c r="B201" s="160"/>
      <c r="C201" s="160"/>
      <c r="E201" s="160"/>
      <c r="F201" s="160"/>
      <c r="H201" s="160"/>
      <c r="I201" s="160"/>
      <c r="K201" s="160"/>
      <c r="L201" s="160"/>
    </row>
    <row r="202" spans="2:12" x14ac:dyDescent="0.25">
      <c r="B202" s="160"/>
      <c r="C202" s="160"/>
      <c r="E202" s="160"/>
      <c r="F202" s="160"/>
      <c r="H202" s="160"/>
      <c r="I202" s="160"/>
      <c r="K202" s="160"/>
      <c r="L202" s="160"/>
    </row>
    <row r="203" spans="2:12" x14ac:dyDescent="0.25">
      <c r="B203" s="160"/>
      <c r="C203" s="160"/>
      <c r="E203" s="160"/>
      <c r="F203" s="160"/>
      <c r="H203" s="160"/>
      <c r="I203" s="160"/>
      <c r="K203" s="160"/>
      <c r="L203" s="160"/>
    </row>
    <row r="204" spans="2:12" x14ac:dyDescent="0.25">
      <c r="B204" s="160"/>
      <c r="C204" s="160"/>
      <c r="E204" s="160"/>
      <c r="F204" s="160"/>
      <c r="H204" s="160"/>
      <c r="I204" s="160"/>
      <c r="K204" s="160"/>
      <c r="L204" s="160"/>
    </row>
    <row r="205" spans="2:12" x14ac:dyDescent="0.25">
      <c r="B205" s="160"/>
      <c r="C205" s="160"/>
      <c r="E205" s="160"/>
      <c r="F205" s="160"/>
      <c r="H205" s="160"/>
      <c r="I205" s="160"/>
      <c r="K205" s="160"/>
      <c r="L205" s="160"/>
    </row>
    <row r="206" spans="2:12" x14ac:dyDescent="0.25">
      <c r="B206" s="160"/>
      <c r="C206" s="160"/>
      <c r="E206" s="160"/>
      <c r="F206" s="160"/>
      <c r="H206" s="160"/>
      <c r="I206" s="160"/>
      <c r="K206" s="160"/>
      <c r="L206" s="160"/>
    </row>
    <row r="207" spans="2:12" x14ac:dyDescent="0.25">
      <c r="B207" s="160"/>
      <c r="C207" s="160"/>
      <c r="E207" s="160"/>
      <c r="F207" s="160"/>
      <c r="H207" s="160"/>
      <c r="I207" s="160"/>
      <c r="K207" s="160"/>
      <c r="L207" s="160"/>
    </row>
    <row r="208" spans="2:12" x14ac:dyDescent="0.25">
      <c r="B208" s="160"/>
      <c r="C208" s="160"/>
      <c r="E208" s="160"/>
      <c r="F208" s="160"/>
      <c r="H208" s="160"/>
      <c r="I208" s="160"/>
      <c r="K208" s="160"/>
      <c r="L208" s="160"/>
    </row>
    <row r="209" spans="2:12" x14ac:dyDescent="0.25">
      <c r="B209" s="160"/>
      <c r="C209" s="160"/>
      <c r="E209" s="160"/>
      <c r="F209" s="160"/>
      <c r="H209" s="160"/>
      <c r="I209" s="160"/>
      <c r="K209" s="160"/>
      <c r="L209" s="160"/>
    </row>
    <row r="210" spans="2:12" x14ac:dyDescent="0.25">
      <c r="B210" s="160"/>
      <c r="C210" s="160"/>
      <c r="E210" s="160"/>
      <c r="F210" s="160"/>
      <c r="H210" s="160"/>
      <c r="I210" s="160"/>
      <c r="K210" s="160"/>
      <c r="L210" s="160"/>
    </row>
    <row r="211" spans="2:12" x14ac:dyDescent="0.25">
      <c r="B211" s="160"/>
      <c r="C211" s="160"/>
      <c r="E211" s="160"/>
      <c r="F211" s="160"/>
      <c r="H211" s="160"/>
      <c r="I211" s="160"/>
      <c r="K211" s="160"/>
      <c r="L211" s="160"/>
    </row>
    <row r="212" spans="2:12" x14ac:dyDescent="0.25">
      <c r="B212" s="160"/>
      <c r="C212" s="160"/>
      <c r="E212" s="160"/>
      <c r="F212" s="160"/>
      <c r="H212" s="160"/>
      <c r="I212" s="160"/>
      <c r="K212" s="160"/>
      <c r="L212" s="160"/>
    </row>
    <row r="213" spans="2:12" x14ac:dyDescent="0.25">
      <c r="B213" s="160"/>
      <c r="C213" s="160"/>
      <c r="E213" s="160"/>
      <c r="F213" s="160"/>
      <c r="H213" s="160"/>
      <c r="I213" s="160"/>
      <c r="K213" s="160"/>
      <c r="L213" s="160"/>
    </row>
    <row r="214" spans="2:12" x14ac:dyDescent="0.25">
      <c r="B214" s="160"/>
      <c r="C214" s="160"/>
      <c r="E214" s="160"/>
      <c r="F214" s="160"/>
      <c r="H214" s="160"/>
      <c r="I214" s="160"/>
      <c r="K214" s="160"/>
      <c r="L214" s="160"/>
    </row>
    <row r="215" spans="2:12" x14ac:dyDescent="0.25">
      <c r="B215" s="160"/>
      <c r="C215" s="160"/>
      <c r="E215" s="160"/>
      <c r="F215" s="160"/>
      <c r="H215" s="160"/>
      <c r="I215" s="160"/>
      <c r="K215" s="160"/>
      <c r="L215" s="160"/>
    </row>
    <row r="216" spans="2:12" x14ac:dyDescent="0.25">
      <c r="B216" s="160"/>
      <c r="C216" s="160"/>
      <c r="E216" s="160"/>
      <c r="F216" s="160"/>
      <c r="H216" s="160"/>
      <c r="I216" s="160"/>
      <c r="K216" s="160"/>
      <c r="L216" s="160"/>
    </row>
    <row r="217" spans="2:12" x14ac:dyDescent="0.25">
      <c r="B217" s="160"/>
      <c r="C217" s="160"/>
      <c r="E217" s="160"/>
      <c r="F217" s="160"/>
      <c r="H217" s="160"/>
      <c r="I217" s="160"/>
      <c r="K217" s="160"/>
      <c r="L217" s="160"/>
    </row>
    <row r="218" spans="2:12" x14ac:dyDescent="0.25">
      <c r="B218" s="160"/>
      <c r="C218" s="160"/>
      <c r="E218" s="160"/>
      <c r="F218" s="160"/>
      <c r="H218" s="160"/>
      <c r="I218" s="160"/>
      <c r="K218" s="160"/>
      <c r="L218" s="160"/>
    </row>
    <row r="219" spans="2:12" x14ac:dyDescent="0.25">
      <c r="B219" s="160"/>
      <c r="C219" s="160"/>
      <c r="E219" s="160"/>
      <c r="F219" s="160"/>
      <c r="H219" s="160"/>
      <c r="I219" s="160"/>
      <c r="K219" s="160"/>
      <c r="L219" s="160"/>
    </row>
    <row r="220" spans="2:12" x14ac:dyDescent="0.25">
      <c r="B220" s="160"/>
      <c r="C220" s="160"/>
      <c r="E220" s="160"/>
      <c r="F220" s="160"/>
      <c r="H220" s="160"/>
      <c r="I220" s="160"/>
      <c r="K220" s="160"/>
      <c r="L220" s="160"/>
    </row>
    <row r="221" spans="2:12" x14ac:dyDescent="0.25">
      <c r="B221" s="160"/>
      <c r="C221" s="160"/>
      <c r="E221" s="160"/>
      <c r="F221" s="160"/>
      <c r="H221" s="160"/>
      <c r="I221" s="160"/>
      <c r="K221" s="160"/>
      <c r="L221" s="160"/>
    </row>
    <row r="222" spans="2:12" x14ac:dyDescent="0.25">
      <c r="B222" s="160"/>
      <c r="C222" s="160"/>
      <c r="E222" s="160"/>
      <c r="F222" s="160"/>
      <c r="H222" s="160"/>
      <c r="I222" s="160"/>
      <c r="K222" s="160"/>
      <c r="L222" s="160"/>
    </row>
    <row r="223" spans="2:12" x14ac:dyDescent="0.25">
      <c r="B223" s="160"/>
      <c r="C223" s="160"/>
      <c r="E223" s="160"/>
      <c r="F223" s="160"/>
      <c r="H223" s="160"/>
      <c r="I223" s="160"/>
      <c r="K223" s="160"/>
      <c r="L223" s="160"/>
    </row>
    <row r="224" spans="2:12" x14ac:dyDescent="0.25">
      <c r="B224" s="160"/>
      <c r="C224" s="160"/>
      <c r="E224" s="160"/>
      <c r="F224" s="160"/>
      <c r="H224" s="160"/>
      <c r="I224" s="160"/>
      <c r="K224" s="160"/>
      <c r="L224" s="160"/>
    </row>
    <row r="225" spans="2:12" x14ac:dyDescent="0.25">
      <c r="B225" s="160"/>
      <c r="C225" s="160"/>
      <c r="E225" s="160"/>
      <c r="F225" s="160"/>
      <c r="H225" s="160"/>
      <c r="I225" s="160"/>
      <c r="K225" s="160"/>
      <c r="L225" s="160"/>
    </row>
    <row r="226" spans="2:12" x14ac:dyDescent="0.25">
      <c r="B226" s="160"/>
      <c r="C226" s="160"/>
      <c r="E226" s="160"/>
      <c r="F226" s="160"/>
      <c r="H226" s="160"/>
      <c r="I226" s="160"/>
      <c r="K226" s="160"/>
      <c r="L226" s="160"/>
    </row>
    <row r="227" spans="2:12" x14ac:dyDescent="0.25">
      <c r="B227" s="160"/>
      <c r="C227" s="160"/>
      <c r="E227" s="160"/>
      <c r="F227" s="160"/>
      <c r="H227" s="160"/>
      <c r="I227" s="160"/>
      <c r="K227" s="160"/>
      <c r="L227" s="160"/>
    </row>
    <row r="228" spans="2:12" x14ac:dyDescent="0.25">
      <c r="B228" s="160"/>
      <c r="C228" s="160"/>
      <c r="E228" s="160"/>
      <c r="F228" s="160"/>
      <c r="H228" s="160"/>
      <c r="I228" s="160"/>
      <c r="K228" s="160"/>
      <c r="L228" s="160"/>
    </row>
    <row r="229" spans="2:12" x14ac:dyDescent="0.25">
      <c r="B229" s="160"/>
      <c r="C229" s="160"/>
      <c r="E229" s="160"/>
      <c r="F229" s="160"/>
      <c r="H229" s="160"/>
      <c r="I229" s="160"/>
      <c r="K229" s="160"/>
      <c r="L229" s="160"/>
    </row>
    <row r="230" spans="2:12" x14ac:dyDescent="0.25">
      <c r="B230" s="160"/>
      <c r="C230" s="160"/>
      <c r="E230" s="160"/>
      <c r="F230" s="160"/>
      <c r="H230" s="160"/>
      <c r="I230" s="160"/>
      <c r="K230" s="160"/>
      <c r="L230" s="160"/>
    </row>
    <row r="231" spans="2:12" x14ac:dyDescent="0.25">
      <c r="B231" s="160"/>
      <c r="C231" s="160"/>
      <c r="E231" s="160"/>
      <c r="F231" s="160"/>
      <c r="H231" s="160"/>
      <c r="I231" s="160"/>
      <c r="K231" s="160"/>
      <c r="L231" s="160"/>
    </row>
    <row r="232" spans="2:12" x14ac:dyDescent="0.25">
      <c r="B232" s="160"/>
      <c r="C232" s="160"/>
      <c r="E232" s="160"/>
      <c r="F232" s="160"/>
      <c r="H232" s="160"/>
      <c r="I232" s="160"/>
      <c r="K232" s="160"/>
      <c r="L232" s="160"/>
    </row>
    <row r="233" spans="2:12" x14ac:dyDescent="0.25">
      <c r="B233" s="160"/>
      <c r="C233" s="160"/>
      <c r="E233" s="160"/>
      <c r="F233" s="160"/>
      <c r="H233" s="160"/>
      <c r="I233" s="160"/>
      <c r="K233" s="160"/>
      <c r="L233" s="160"/>
    </row>
    <row r="234" spans="2:12" x14ac:dyDescent="0.25">
      <c r="B234" s="160"/>
      <c r="C234" s="160"/>
      <c r="E234" s="160"/>
      <c r="F234" s="160"/>
      <c r="H234" s="160"/>
      <c r="I234" s="160"/>
      <c r="K234" s="160"/>
      <c r="L234" s="160"/>
    </row>
    <row r="235" spans="2:12" x14ac:dyDescent="0.25">
      <c r="B235" s="160"/>
      <c r="C235" s="160"/>
      <c r="E235" s="160"/>
      <c r="F235" s="160"/>
      <c r="H235" s="160"/>
      <c r="I235" s="160"/>
      <c r="K235" s="160"/>
      <c r="L235" s="160"/>
    </row>
    <row r="236" spans="2:12" x14ac:dyDescent="0.25">
      <c r="B236" s="160"/>
      <c r="C236" s="160"/>
      <c r="E236" s="160"/>
      <c r="F236" s="160"/>
      <c r="H236" s="160"/>
      <c r="I236" s="160"/>
      <c r="K236" s="160"/>
      <c r="L236" s="160"/>
    </row>
    <row r="237" spans="2:12" x14ac:dyDescent="0.25">
      <c r="B237" s="160"/>
      <c r="C237" s="160"/>
      <c r="E237" s="160"/>
      <c r="F237" s="160"/>
      <c r="H237" s="160"/>
      <c r="I237" s="160"/>
      <c r="K237" s="160"/>
      <c r="L237" s="160"/>
    </row>
    <row r="238" spans="2:12" x14ac:dyDescent="0.25">
      <c r="B238" s="160"/>
      <c r="C238" s="160"/>
      <c r="E238" s="160"/>
      <c r="F238" s="160"/>
      <c r="H238" s="160"/>
      <c r="I238" s="160"/>
      <c r="K238" s="160"/>
      <c r="L238" s="160"/>
    </row>
    <row r="239" spans="2:12" x14ac:dyDescent="0.25">
      <c r="B239" s="160"/>
      <c r="C239" s="160"/>
      <c r="E239" s="160"/>
      <c r="F239" s="160"/>
      <c r="H239" s="160"/>
      <c r="I239" s="160"/>
      <c r="K239" s="160"/>
      <c r="L239" s="160"/>
    </row>
    <row r="240" spans="2:12" x14ac:dyDescent="0.25">
      <c r="B240" s="160"/>
      <c r="C240" s="160"/>
      <c r="E240" s="160"/>
      <c r="F240" s="160"/>
      <c r="H240" s="160"/>
      <c r="I240" s="160"/>
      <c r="K240" s="160"/>
      <c r="L240" s="160"/>
    </row>
    <row r="241" spans="2:12" x14ac:dyDescent="0.25">
      <c r="B241" s="160"/>
      <c r="C241" s="160"/>
      <c r="E241" s="160"/>
      <c r="F241" s="160"/>
      <c r="H241" s="160"/>
      <c r="I241" s="160"/>
      <c r="K241" s="160"/>
      <c r="L241" s="160"/>
    </row>
    <row r="242" spans="2:12" x14ac:dyDescent="0.25">
      <c r="B242" s="160"/>
      <c r="C242" s="160"/>
      <c r="E242" s="160"/>
      <c r="F242" s="160"/>
      <c r="H242" s="160"/>
      <c r="I242" s="160"/>
      <c r="K242" s="160"/>
      <c r="L242" s="160"/>
    </row>
    <row r="243" spans="2:12" x14ac:dyDescent="0.25">
      <c r="B243" s="160"/>
      <c r="C243" s="160"/>
      <c r="E243" s="160"/>
      <c r="F243" s="160"/>
      <c r="H243" s="160"/>
      <c r="I243" s="160"/>
      <c r="K243" s="160"/>
      <c r="L243" s="160"/>
    </row>
    <row r="244" spans="2:12" x14ac:dyDescent="0.25">
      <c r="B244" s="160"/>
      <c r="C244" s="160"/>
      <c r="E244" s="160"/>
      <c r="F244" s="160"/>
      <c r="H244" s="160"/>
      <c r="I244" s="160"/>
      <c r="K244" s="160"/>
      <c r="L244" s="160"/>
    </row>
    <row r="245" spans="2:12" x14ac:dyDescent="0.25">
      <c r="B245" s="160"/>
      <c r="C245" s="160"/>
      <c r="E245" s="160"/>
      <c r="F245" s="160"/>
      <c r="H245" s="160"/>
      <c r="I245" s="160"/>
      <c r="K245" s="160"/>
      <c r="L245" s="160"/>
    </row>
    <row r="246" spans="2:12" x14ac:dyDescent="0.25">
      <c r="B246" s="160"/>
      <c r="C246" s="160"/>
      <c r="E246" s="160"/>
      <c r="F246" s="160"/>
      <c r="H246" s="160"/>
      <c r="I246" s="160"/>
      <c r="K246" s="160"/>
      <c r="L246" s="160"/>
    </row>
    <row r="247" spans="2:12" x14ac:dyDescent="0.25">
      <c r="B247" s="160"/>
      <c r="C247" s="160"/>
      <c r="E247" s="160"/>
      <c r="F247" s="160"/>
      <c r="H247" s="160"/>
      <c r="I247" s="160"/>
      <c r="K247" s="160"/>
      <c r="L247" s="160"/>
    </row>
    <row r="248" spans="2:12" x14ac:dyDescent="0.25">
      <c r="B248" s="160"/>
      <c r="C248" s="160"/>
      <c r="E248" s="160"/>
      <c r="F248" s="160"/>
      <c r="H248" s="160"/>
      <c r="I248" s="160"/>
      <c r="K248" s="160"/>
      <c r="L248" s="160"/>
    </row>
    <row r="249" spans="2:12" x14ac:dyDescent="0.25">
      <c r="B249" s="160"/>
      <c r="C249" s="160"/>
      <c r="E249" s="160"/>
      <c r="F249" s="160"/>
      <c r="H249" s="160"/>
      <c r="I249" s="160"/>
      <c r="K249" s="160"/>
      <c r="L249" s="160"/>
    </row>
    <row r="250" spans="2:12" x14ac:dyDescent="0.25">
      <c r="B250" s="160"/>
      <c r="C250" s="160"/>
      <c r="E250" s="160"/>
      <c r="F250" s="160"/>
      <c r="H250" s="160"/>
      <c r="I250" s="160"/>
      <c r="K250" s="160"/>
      <c r="L250" s="160"/>
    </row>
    <row r="251" spans="2:12" x14ac:dyDescent="0.25">
      <c r="B251" s="160"/>
      <c r="C251" s="160"/>
      <c r="E251" s="160"/>
      <c r="F251" s="160"/>
      <c r="H251" s="160"/>
      <c r="I251" s="160"/>
      <c r="K251" s="160"/>
      <c r="L251" s="160"/>
    </row>
    <row r="252" spans="2:12" x14ac:dyDescent="0.25">
      <c r="B252" s="160"/>
      <c r="C252" s="160"/>
      <c r="E252" s="160"/>
      <c r="F252" s="160"/>
      <c r="H252" s="160"/>
      <c r="I252" s="160"/>
      <c r="K252" s="160"/>
      <c r="L252" s="160"/>
    </row>
    <row r="253" spans="2:12" x14ac:dyDescent="0.25">
      <c r="B253" s="160"/>
      <c r="C253" s="160"/>
      <c r="E253" s="160"/>
      <c r="F253" s="160"/>
      <c r="H253" s="160"/>
      <c r="I253" s="160"/>
      <c r="K253" s="160"/>
      <c r="L253" s="160"/>
    </row>
    <row r="254" spans="2:12" x14ac:dyDescent="0.25">
      <c r="B254" s="160"/>
      <c r="C254" s="160"/>
      <c r="E254" s="160"/>
      <c r="F254" s="160"/>
      <c r="H254" s="160"/>
      <c r="I254" s="160"/>
      <c r="K254" s="160"/>
      <c r="L254" s="160"/>
    </row>
    <row r="255" spans="2:12" x14ac:dyDescent="0.25">
      <c r="B255" s="160"/>
      <c r="C255" s="160"/>
      <c r="E255" s="160"/>
      <c r="F255" s="160"/>
      <c r="H255" s="160"/>
      <c r="I255" s="160"/>
      <c r="K255" s="160"/>
      <c r="L255" s="160"/>
    </row>
    <row r="256" spans="2:12" x14ac:dyDescent="0.25">
      <c r="B256" s="160"/>
      <c r="C256" s="160"/>
      <c r="E256" s="160"/>
      <c r="F256" s="160"/>
      <c r="H256" s="160"/>
      <c r="I256" s="160"/>
      <c r="K256" s="160"/>
      <c r="L256" s="160"/>
    </row>
    <row r="257" spans="2:12" x14ac:dyDescent="0.25">
      <c r="B257" s="160"/>
      <c r="C257" s="160"/>
      <c r="E257" s="160"/>
      <c r="F257" s="160"/>
      <c r="H257" s="160"/>
      <c r="I257" s="160"/>
      <c r="K257" s="160"/>
      <c r="L257" s="160"/>
    </row>
    <row r="258" spans="2:12" x14ac:dyDescent="0.25">
      <c r="B258" s="160"/>
      <c r="C258" s="160"/>
      <c r="E258" s="160"/>
      <c r="F258" s="160"/>
      <c r="H258" s="160"/>
      <c r="I258" s="160"/>
      <c r="K258" s="160"/>
      <c r="L258" s="160"/>
    </row>
    <row r="259" spans="2:12" x14ac:dyDescent="0.25">
      <c r="B259" s="160"/>
      <c r="C259" s="160"/>
      <c r="E259" s="160"/>
      <c r="F259" s="160"/>
      <c r="H259" s="160"/>
      <c r="I259" s="160"/>
      <c r="K259" s="160"/>
      <c r="L259" s="160"/>
    </row>
    <row r="260" spans="2:12" x14ac:dyDescent="0.25">
      <c r="B260" s="160"/>
      <c r="C260" s="160"/>
      <c r="E260" s="160"/>
      <c r="F260" s="160"/>
      <c r="H260" s="160"/>
      <c r="I260" s="160"/>
      <c r="K260" s="160"/>
      <c r="L260" s="160"/>
    </row>
    <row r="261" spans="2:12" x14ac:dyDescent="0.25">
      <c r="B261" s="160"/>
      <c r="C261" s="160"/>
      <c r="E261" s="160"/>
      <c r="F261" s="160"/>
      <c r="H261" s="160"/>
      <c r="I261" s="160"/>
      <c r="K261" s="160"/>
      <c r="L261" s="160"/>
    </row>
    <row r="262" spans="2:12" x14ac:dyDescent="0.25">
      <c r="B262" s="160"/>
      <c r="C262" s="160"/>
      <c r="E262" s="160"/>
      <c r="F262" s="160"/>
      <c r="H262" s="160"/>
      <c r="I262" s="160"/>
      <c r="K262" s="160"/>
      <c r="L262" s="160"/>
    </row>
    <row r="263" spans="2:12" x14ac:dyDescent="0.25">
      <c r="B263" s="160"/>
      <c r="C263" s="160"/>
      <c r="E263" s="160"/>
      <c r="F263" s="160"/>
      <c r="H263" s="160"/>
      <c r="I263" s="160"/>
      <c r="K263" s="160"/>
      <c r="L263" s="160"/>
    </row>
    <row r="264" spans="2:12" x14ac:dyDescent="0.25">
      <c r="B264" s="160"/>
      <c r="C264" s="160"/>
      <c r="E264" s="160"/>
      <c r="F264" s="160"/>
      <c r="H264" s="160"/>
      <c r="I264" s="160"/>
      <c r="K264" s="160"/>
      <c r="L264" s="160"/>
    </row>
    <row r="265" spans="2:12" x14ac:dyDescent="0.25">
      <c r="B265" s="160"/>
      <c r="C265" s="160"/>
      <c r="E265" s="160"/>
      <c r="F265" s="160"/>
      <c r="H265" s="160"/>
      <c r="I265" s="160"/>
      <c r="K265" s="160"/>
      <c r="L265" s="160"/>
    </row>
    <row r="266" spans="2:12" x14ac:dyDescent="0.25">
      <c r="B266" s="160"/>
      <c r="C266" s="160"/>
      <c r="E266" s="160"/>
      <c r="F266" s="160"/>
      <c r="H266" s="160"/>
      <c r="I266" s="160"/>
      <c r="K266" s="160"/>
      <c r="L266" s="160"/>
    </row>
    <row r="267" spans="2:12" x14ac:dyDescent="0.25">
      <c r="B267" s="160"/>
      <c r="C267" s="160"/>
      <c r="E267" s="160"/>
      <c r="F267" s="160"/>
      <c r="H267" s="160"/>
      <c r="I267" s="160"/>
      <c r="K267" s="160"/>
      <c r="L267" s="160"/>
    </row>
    <row r="268" spans="2:12" x14ac:dyDescent="0.25">
      <c r="B268" s="160"/>
      <c r="C268" s="160"/>
      <c r="E268" s="160"/>
      <c r="F268" s="160"/>
      <c r="H268" s="160"/>
      <c r="I268" s="160"/>
      <c r="K268" s="160"/>
      <c r="L268" s="160"/>
    </row>
    <row r="269" spans="2:12" x14ac:dyDescent="0.25">
      <c r="B269" s="160"/>
      <c r="C269" s="160"/>
      <c r="E269" s="160"/>
      <c r="F269" s="160"/>
      <c r="H269" s="160"/>
      <c r="I269" s="160"/>
      <c r="K269" s="160"/>
      <c r="L269" s="160"/>
    </row>
    <row r="270" spans="2:12" x14ac:dyDescent="0.25">
      <c r="B270" s="160"/>
      <c r="C270" s="160"/>
      <c r="E270" s="160"/>
      <c r="F270" s="160"/>
      <c r="H270" s="160"/>
      <c r="I270" s="160"/>
      <c r="K270" s="160"/>
      <c r="L270" s="160"/>
    </row>
    <row r="271" spans="2:12" x14ac:dyDescent="0.25">
      <c r="B271" s="160"/>
      <c r="C271" s="160"/>
      <c r="E271" s="160"/>
      <c r="F271" s="160"/>
      <c r="H271" s="160"/>
      <c r="I271" s="160"/>
      <c r="K271" s="160"/>
      <c r="L271" s="160"/>
    </row>
    <row r="272" spans="2:12" x14ac:dyDescent="0.25">
      <c r="B272" s="160"/>
      <c r="C272" s="160"/>
      <c r="E272" s="160"/>
      <c r="F272" s="160"/>
      <c r="H272" s="160"/>
      <c r="I272" s="160"/>
      <c r="K272" s="160"/>
      <c r="L272" s="160"/>
    </row>
    <row r="273" spans="2:12" x14ac:dyDescent="0.25">
      <c r="B273" s="160"/>
      <c r="C273" s="160"/>
      <c r="E273" s="160"/>
      <c r="F273" s="160"/>
      <c r="H273" s="160"/>
      <c r="I273" s="160"/>
      <c r="K273" s="160"/>
      <c r="L273" s="160"/>
    </row>
    <row r="274" spans="2:12" x14ac:dyDescent="0.25">
      <c r="B274" s="160"/>
      <c r="C274" s="160"/>
      <c r="E274" s="160"/>
      <c r="F274" s="160"/>
      <c r="H274" s="160"/>
      <c r="I274" s="160"/>
      <c r="K274" s="160"/>
      <c r="L274" s="160"/>
    </row>
    <row r="275" spans="2:12" x14ac:dyDescent="0.25">
      <c r="B275" s="160"/>
      <c r="C275" s="160"/>
      <c r="E275" s="160"/>
      <c r="F275" s="160"/>
      <c r="H275" s="160"/>
      <c r="I275" s="160"/>
      <c r="K275" s="160"/>
      <c r="L275" s="160"/>
    </row>
    <row r="276" spans="2:12" x14ac:dyDescent="0.25">
      <c r="B276" s="160"/>
      <c r="C276" s="160"/>
      <c r="E276" s="160"/>
      <c r="F276" s="160"/>
      <c r="H276" s="160"/>
      <c r="I276" s="160"/>
      <c r="K276" s="160"/>
      <c r="L276" s="160"/>
    </row>
    <row r="277" spans="2:12" x14ac:dyDescent="0.25">
      <c r="B277" s="160"/>
      <c r="C277" s="160"/>
      <c r="E277" s="160"/>
      <c r="F277" s="160"/>
      <c r="H277" s="160"/>
      <c r="I277" s="160"/>
      <c r="K277" s="160"/>
      <c r="L277" s="160"/>
    </row>
    <row r="278" spans="2:12" x14ac:dyDescent="0.25">
      <c r="B278" s="160"/>
      <c r="C278" s="160"/>
      <c r="E278" s="160"/>
      <c r="F278" s="160"/>
      <c r="H278" s="160"/>
      <c r="I278" s="160"/>
      <c r="K278" s="160"/>
      <c r="L278" s="160"/>
    </row>
    <row r="279" spans="2:12" x14ac:dyDescent="0.25">
      <c r="B279" s="160"/>
      <c r="C279" s="160"/>
      <c r="E279" s="160"/>
      <c r="F279" s="160"/>
      <c r="H279" s="160"/>
      <c r="I279" s="160"/>
      <c r="K279" s="160"/>
      <c r="L279" s="160"/>
    </row>
    <row r="280" spans="2:12" x14ac:dyDescent="0.25">
      <c r="B280" s="160"/>
      <c r="C280" s="160"/>
      <c r="E280" s="160"/>
      <c r="F280" s="160"/>
      <c r="H280" s="160"/>
      <c r="I280" s="160"/>
      <c r="K280" s="160"/>
      <c r="L280" s="160"/>
    </row>
    <row r="281" spans="2:12" x14ac:dyDescent="0.25">
      <c r="B281" s="160"/>
      <c r="C281" s="160"/>
      <c r="E281" s="160"/>
      <c r="F281" s="160"/>
      <c r="H281" s="160"/>
      <c r="I281" s="160"/>
      <c r="K281" s="160"/>
      <c r="L281" s="160"/>
    </row>
    <row r="282" spans="2:12" x14ac:dyDescent="0.25">
      <c r="B282" s="160"/>
      <c r="C282" s="160"/>
      <c r="E282" s="160"/>
      <c r="F282" s="160"/>
      <c r="H282" s="160"/>
      <c r="I282" s="160"/>
      <c r="K282" s="160"/>
      <c r="L282" s="160"/>
    </row>
    <row r="283" spans="2:12" x14ac:dyDescent="0.25">
      <c r="B283" s="160"/>
      <c r="C283" s="160"/>
      <c r="E283" s="160"/>
      <c r="F283" s="160"/>
      <c r="H283" s="160"/>
      <c r="I283" s="160"/>
      <c r="K283" s="160"/>
      <c r="L283" s="160"/>
    </row>
    <row r="284" spans="2:12" x14ac:dyDescent="0.25">
      <c r="B284" s="160"/>
      <c r="C284" s="160"/>
      <c r="E284" s="160"/>
      <c r="F284" s="160"/>
      <c r="H284" s="160"/>
      <c r="I284" s="160"/>
      <c r="K284" s="160"/>
      <c r="L284" s="160"/>
    </row>
    <row r="285" spans="2:12" x14ac:dyDescent="0.25">
      <c r="B285" s="160"/>
      <c r="C285" s="160"/>
      <c r="E285" s="160"/>
      <c r="F285" s="160"/>
      <c r="H285" s="160"/>
      <c r="I285" s="160"/>
      <c r="K285" s="160"/>
      <c r="L285" s="160"/>
    </row>
    <row r="286" spans="2:12" x14ac:dyDescent="0.25">
      <c r="B286" s="160"/>
      <c r="C286" s="160"/>
      <c r="E286" s="160"/>
      <c r="F286" s="160"/>
      <c r="H286" s="160"/>
      <c r="I286" s="160"/>
      <c r="K286" s="160"/>
      <c r="L286" s="160"/>
    </row>
    <row r="287" spans="2:12" x14ac:dyDescent="0.25">
      <c r="B287" s="160"/>
      <c r="C287" s="160"/>
      <c r="E287" s="160"/>
      <c r="F287" s="160"/>
      <c r="H287" s="160"/>
      <c r="I287" s="160"/>
      <c r="K287" s="160"/>
      <c r="L287" s="160"/>
    </row>
    <row r="288" spans="2:12" x14ac:dyDescent="0.25">
      <c r="B288" s="160"/>
      <c r="C288" s="160"/>
      <c r="E288" s="160"/>
      <c r="F288" s="160"/>
      <c r="H288" s="160"/>
      <c r="I288" s="160"/>
      <c r="K288" s="160"/>
      <c r="L288" s="160"/>
    </row>
    <row r="289" spans="2:12" x14ac:dyDescent="0.25">
      <c r="B289" s="160"/>
      <c r="C289" s="160"/>
      <c r="E289" s="160"/>
      <c r="F289" s="160"/>
      <c r="H289" s="160"/>
      <c r="I289" s="160"/>
      <c r="K289" s="160"/>
      <c r="L289" s="160"/>
    </row>
    <row r="290" spans="2:12" x14ac:dyDescent="0.25">
      <c r="B290" s="160"/>
      <c r="C290" s="160"/>
      <c r="E290" s="160"/>
      <c r="F290" s="160"/>
      <c r="H290" s="160"/>
      <c r="I290" s="160"/>
      <c r="K290" s="160"/>
      <c r="L290" s="160"/>
    </row>
    <row r="291" spans="2:12" x14ac:dyDescent="0.25">
      <c r="B291" s="160"/>
      <c r="C291" s="160"/>
      <c r="E291" s="160"/>
      <c r="F291" s="160"/>
      <c r="H291" s="160"/>
      <c r="I291" s="160"/>
      <c r="K291" s="160"/>
      <c r="L291" s="160"/>
    </row>
    <row r="292" spans="2:12" x14ac:dyDescent="0.25">
      <c r="B292" s="160"/>
      <c r="C292" s="160"/>
      <c r="E292" s="160"/>
      <c r="F292" s="160"/>
      <c r="H292" s="160"/>
      <c r="I292" s="160"/>
      <c r="K292" s="160"/>
      <c r="L292" s="160"/>
    </row>
    <row r="293" spans="2:12" x14ac:dyDescent="0.25">
      <c r="B293" s="160"/>
      <c r="C293" s="160"/>
      <c r="E293" s="160"/>
      <c r="F293" s="160"/>
      <c r="H293" s="160"/>
      <c r="I293" s="160"/>
      <c r="K293" s="160"/>
      <c r="L293" s="160"/>
    </row>
    <row r="294" spans="2:12" x14ac:dyDescent="0.25">
      <c r="B294" s="160"/>
      <c r="C294" s="160"/>
      <c r="E294" s="160"/>
      <c r="F294" s="160"/>
      <c r="H294" s="160"/>
      <c r="I294" s="160"/>
      <c r="K294" s="160"/>
      <c r="L294" s="160"/>
    </row>
    <row r="295" spans="2:12" x14ac:dyDescent="0.25">
      <c r="B295" s="160"/>
      <c r="C295" s="160"/>
      <c r="E295" s="160"/>
      <c r="F295" s="160"/>
      <c r="H295" s="160"/>
      <c r="I295" s="160"/>
      <c r="K295" s="160"/>
      <c r="L295" s="160"/>
    </row>
    <row r="296" spans="2:12" x14ac:dyDescent="0.25">
      <c r="B296" s="160"/>
      <c r="C296" s="160"/>
      <c r="E296" s="160"/>
      <c r="F296" s="160"/>
      <c r="H296" s="160"/>
      <c r="I296" s="160"/>
      <c r="K296" s="160"/>
      <c r="L296" s="160"/>
    </row>
    <row r="297" spans="2:12" x14ac:dyDescent="0.25">
      <c r="B297" s="160"/>
      <c r="C297" s="160"/>
      <c r="E297" s="160"/>
      <c r="F297" s="160"/>
      <c r="H297" s="160"/>
      <c r="I297" s="160"/>
      <c r="K297" s="160"/>
      <c r="L297" s="160"/>
    </row>
    <row r="298" spans="2:12" x14ac:dyDescent="0.25">
      <c r="B298" s="160"/>
      <c r="C298" s="160"/>
      <c r="E298" s="160"/>
      <c r="F298" s="160"/>
      <c r="H298" s="160"/>
      <c r="I298" s="160"/>
      <c r="K298" s="160"/>
      <c r="L298" s="160"/>
    </row>
    <row r="299" spans="2:12" x14ac:dyDescent="0.25">
      <c r="B299" s="160"/>
      <c r="C299" s="160"/>
      <c r="E299" s="160"/>
      <c r="F299" s="160"/>
      <c r="H299" s="160"/>
      <c r="I299" s="160"/>
      <c r="K299" s="160"/>
      <c r="L299" s="160"/>
    </row>
    <row r="300" spans="2:12" x14ac:dyDescent="0.25">
      <c r="B300" s="160"/>
      <c r="C300" s="160"/>
      <c r="E300" s="160"/>
      <c r="F300" s="160"/>
      <c r="H300" s="160"/>
      <c r="I300" s="160"/>
      <c r="K300" s="160"/>
      <c r="L300" s="160"/>
    </row>
    <row r="301" spans="2:12" x14ac:dyDescent="0.25">
      <c r="B301" s="160"/>
      <c r="C301" s="160"/>
      <c r="E301" s="160"/>
      <c r="F301" s="160"/>
      <c r="H301" s="160"/>
      <c r="I301" s="160"/>
      <c r="K301" s="160"/>
      <c r="L301" s="160"/>
    </row>
    <row r="302" spans="2:12" x14ac:dyDescent="0.25">
      <c r="B302" s="160"/>
      <c r="C302" s="160"/>
      <c r="E302" s="160"/>
      <c r="F302" s="160"/>
      <c r="H302" s="160"/>
      <c r="I302" s="160"/>
      <c r="K302" s="160"/>
      <c r="L302" s="160"/>
    </row>
    <row r="303" spans="2:12" x14ac:dyDescent="0.25">
      <c r="B303" s="160"/>
      <c r="C303" s="160"/>
      <c r="E303" s="160"/>
      <c r="F303" s="160"/>
      <c r="H303" s="160"/>
      <c r="I303" s="160"/>
      <c r="K303" s="160"/>
      <c r="L303" s="160"/>
    </row>
    <row r="304" spans="2:12" x14ac:dyDescent="0.25">
      <c r="B304" s="160"/>
      <c r="C304" s="160"/>
      <c r="E304" s="160"/>
      <c r="F304" s="160"/>
      <c r="H304" s="160"/>
      <c r="I304" s="160"/>
      <c r="K304" s="160"/>
      <c r="L304" s="160"/>
    </row>
    <row r="305" spans="2:12" x14ac:dyDescent="0.25">
      <c r="B305" s="160"/>
      <c r="C305" s="160"/>
      <c r="E305" s="160"/>
      <c r="F305" s="160"/>
      <c r="H305" s="160"/>
      <c r="I305" s="160"/>
      <c r="K305" s="160"/>
      <c r="L305" s="160"/>
    </row>
    <row r="306" spans="2:12" x14ac:dyDescent="0.25">
      <c r="B306" s="160"/>
      <c r="C306" s="160"/>
      <c r="E306" s="160"/>
      <c r="F306" s="160"/>
      <c r="H306" s="160"/>
      <c r="I306" s="160"/>
      <c r="K306" s="160"/>
      <c r="L306" s="160"/>
    </row>
    <row r="307" spans="2:12" x14ac:dyDescent="0.25">
      <c r="B307" s="160"/>
      <c r="C307" s="160"/>
      <c r="E307" s="160"/>
      <c r="F307" s="160"/>
      <c r="H307" s="160"/>
      <c r="I307" s="160"/>
      <c r="K307" s="160"/>
      <c r="L307" s="160"/>
    </row>
    <row r="308" spans="2:12" x14ac:dyDescent="0.25">
      <c r="B308" s="160"/>
      <c r="C308" s="160"/>
      <c r="E308" s="160"/>
      <c r="F308" s="160"/>
      <c r="H308" s="160"/>
      <c r="I308" s="160"/>
      <c r="K308" s="160"/>
      <c r="L308" s="160"/>
    </row>
    <row r="309" spans="2:12" x14ac:dyDescent="0.25">
      <c r="B309" s="160"/>
      <c r="C309" s="160"/>
      <c r="E309" s="160"/>
      <c r="F309" s="160"/>
      <c r="H309" s="160"/>
      <c r="I309" s="160"/>
      <c r="K309" s="160"/>
      <c r="L309" s="160"/>
    </row>
    <row r="310" spans="2:12" x14ac:dyDescent="0.25">
      <c r="B310" s="160"/>
      <c r="C310" s="160"/>
      <c r="E310" s="160"/>
      <c r="F310" s="160"/>
      <c r="H310" s="160"/>
      <c r="I310" s="160"/>
      <c r="K310" s="160"/>
      <c r="L310" s="160"/>
    </row>
    <row r="311" spans="2:12" x14ac:dyDescent="0.25">
      <c r="B311" s="160"/>
      <c r="C311" s="160"/>
      <c r="E311" s="160"/>
      <c r="F311" s="160"/>
      <c r="H311" s="160"/>
      <c r="I311" s="160"/>
      <c r="K311" s="160"/>
      <c r="L311" s="160"/>
    </row>
    <row r="312" spans="2:12" x14ac:dyDescent="0.25">
      <c r="B312" s="160"/>
      <c r="C312" s="160"/>
      <c r="E312" s="160"/>
      <c r="F312" s="160"/>
      <c r="H312" s="160"/>
      <c r="I312" s="160"/>
      <c r="K312" s="160"/>
      <c r="L312" s="160"/>
    </row>
    <row r="313" spans="2:12" x14ac:dyDescent="0.25">
      <c r="B313" s="160"/>
      <c r="C313" s="160"/>
      <c r="E313" s="160"/>
      <c r="F313" s="160"/>
      <c r="H313" s="160"/>
      <c r="I313" s="160"/>
      <c r="K313" s="160"/>
      <c r="L313" s="160"/>
    </row>
    <row r="314" spans="2:12" x14ac:dyDescent="0.25">
      <c r="B314" s="160"/>
      <c r="C314" s="160"/>
      <c r="E314" s="160"/>
      <c r="F314" s="160"/>
      <c r="H314" s="160"/>
      <c r="I314" s="160"/>
      <c r="K314" s="160"/>
      <c r="L314" s="160"/>
    </row>
    <row r="315" spans="2:12" x14ac:dyDescent="0.25">
      <c r="B315" s="160"/>
      <c r="C315" s="160"/>
      <c r="E315" s="160"/>
      <c r="F315" s="160"/>
      <c r="H315" s="160"/>
      <c r="I315" s="160"/>
      <c r="K315" s="160"/>
      <c r="L315" s="160"/>
    </row>
    <row r="316" spans="2:12" x14ac:dyDescent="0.25">
      <c r="B316" s="160"/>
      <c r="C316" s="160"/>
      <c r="E316" s="160"/>
      <c r="F316" s="160"/>
      <c r="H316" s="160"/>
      <c r="I316" s="160"/>
      <c r="K316" s="160"/>
      <c r="L316" s="160"/>
    </row>
    <row r="317" spans="2:12" x14ac:dyDescent="0.25">
      <c r="B317" s="160"/>
      <c r="C317" s="160"/>
      <c r="E317" s="160"/>
      <c r="F317" s="160"/>
      <c r="H317" s="160"/>
      <c r="I317" s="160"/>
      <c r="K317" s="160"/>
      <c r="L317" s="160"/>
    </row>
    <row r="318" spans="2:12" x14ac:dyDescent="0.25">
      <c r="B318" s="160"/>
      <c r="C318" s="160"/>
      <c r="E318" s="160"/>
      <c r="F318" s="160"/>
      <c r="H318" s="160"/>
      <c r="I318" s="160"/>
      <c r="K318" s="160"/>
      <c r="L318" s="160"/>
    </row>
    <row r="319" spans="2:12" x14ac:dyDescent="0.25">
      <c r="B319" s="160"/>
      <c r="C319" s="160"/>
      <c r="E319" s="160"/>
      <c r="F319" s="160"/>
      <c r="H319" s="160"/>
      <c r="I319" s="160"/>
      <c r="K319" s="160"/>
      <c r="L319" s="160"/>
    </row>
    <row r="320" spans="2:12" x14ac:dyDescent="0.25">
      <c r="B320" s="160"/>
      <c r="C320" s="160"/>
      <c r="E320" s="160"/>
      <c r="F320" s="160"/>
      <c r="H320" s="160"/>
      <c r="I320" s="160"/>
      <c r="K320" s="160"/>
      <c r="L320" s="160"/>
    </row>
    <row r="321" spans="2:12" x14ac:dyDescent="0.25">
      <c r="B321" s="160"/>
      <c r="C321" s="160"/>
      <c r="E321" s="160"/>
      <c r="F321" s="160"/>
      <c r="H321" s="160"/>
      <c r="I321" s="160"/>
      <c r="K321" s="160"/>
      <c r="L321" s="160"/>
    </row>
    <row r="322" spans="2:12" x14ac:dyDescent="0.25">
      <c r="B322" s="160"/>
      <c r="C322" s="160"/>
      <c r="E322" s="160"/>
      <c r="F322" s="160"/>
      <c r="H322" s="160"/>
      <c r="I322" s="160"/>
      <c r="K322" s="160"/>
      <c r="L322" s="160"/>
    </row>
    <row r="323" spans="2:12" x14ac:dyDescent="0.25">
      <c r="B323" s="160"/>
      <c r="C323" s="160"/>
      <c r="E323" s="160"/>
      <c r="F323" s="160"/>
      <c r="H323" s="160"/>
      <c r="I323" s="160"/>
      <c r="K323" s="160"/>
      <c r="L323" s="160"/>
    </row>
    <row r="324" spans="2:12" x14ac:dyDescent="0.25">
      <c r="B324" s="160"/>
      <c r="C324" s="160"/>
      <c r="E324" s="160"/>
      <c r="F324" s="160"/>
      <c r="H324" s="160"/>
      <c r="I324" s="160"/>
      <c r="K324" s="160"/>
      <c r="L324" s="160"/>
    </row>
    <row r="325" spans="2:12" x14ac:dyDescent="0.25">
      <c r="B325" s="160"/>
      <c r="C325" s="160"/>
      <c r="E325" s="160"/>
      <c r="F325" s="160"/>
      <c r="H325" s="160"/>
      <c r="I325" s="160"/>
      <c r="K325" s="160"/>
      <c r="L325" s="160"/>
    </row>
    <row r="326" spans="2:12" x14ac:dyDescent="0.25">
      <c r="B326" s="160"/>
      <c r="C326" s="160"/>
      <c r="E326" s="160"/>
      <c r="F326" s="160"/>
      <c r="H326" s="160"/>
      <c r="I326" s="160"/>
      <c r="K326" s="160"/>
      <c r="L326" s="160"/>
    </row>
    <row r="327" spans="2:12" x14ac:dyDescent="0.25">
      <c r="B327" s="160"/>
      <c r="C327" s="160"/>
      <c r="E327" s="160"/>
      <c r="F327" s="160"/>
      <c r="H327" s="160"/>
      <c r="I327" s="160"/>
      <c r="K327" s="160"/>
      <c r="L327" s="160"/>
    </row>
    <row r="328" spans="2:12" x14ac:dyDescent="0.25">
      <c r="B328" s="160"/>
      <c r="C328" s="160"/>
      <c r="E328" s="160"/>
      <c r="F328" s="160"/>
      <c r="H328" s="160"/>
      <c r="I328" s="160"/>
      <c r="K328" s="160"/>
      <c r="L328" s="160"/>
    </row>
    <row r="329" spans="2:12" x14ac:dyDescent="0.25">
      <c r="B329" s="160"/>
      <c r="C329" s="160"/>
      <c r="E329" s="160"/>
      <c r="F329" s="160"/>
      <c r="H329" s="160"/>
      <c r="I329" s="160"/>
      <c r="K329" s="160"/>
      <c r="L329" s="160"/>
    </row>
    <row r="330" spans="2:12" x14ac:dyDescent="0.25">
      <c r="B330" s="160"/>
      <c r="C330" s="160"/>
      <c r="E330" s="160"/>
      <c r="F330" s="160"/>
      <c r="H330" s="160"/>
      <c r="I330" s="160"/>
      <c r="K330" s="160"/>
      <c r="L330" s="160"/>
    </row>
    <row r="331" spans="2:12" x14ac:dyDescent="0.25">
      <c r="B331" s="160"/>
      <c r="C331" s="160"/>
      <c r="E331" s="160"/>
      <c r="F331" s="160"/>
      <c r="H331" s="160"/>
      <c r="I331" s="160"/>
      <c r="K331" s="160"/>
      <c r="L331" s="160"/>
    </row>
    <row r="332" spans="2:12" x14ac:dyDescent="0.25">
      <c r="B332" s="160"/>
      <c r="C332" s="160"/>
      <c r="E332" s="160"/>
      <c r="F332" s="160"/>
      <c r="H332" s="160"/>
      <c r="I332" s="160"/>
      <c r="K332" s="160"/>
      <c r="L332" s="160"/>
    </row>
    <row r="333" spans="2:12" x14ac:dyDescent="0.25">
      <c r="B333" s="160"/>
      <c r="C333" s="160"/>
      <c r="E333" s="160"/>
      <c r="F333" s="160"/>
      <c r="H333" s="160"/>
      <c r="I333" s="160"/>
      <c r="K333" s="160"/>
      <c r="L333" s="160"/>
    </row>
    <row r="334" spans="2:12" x14ac:dyDescent="0.25">
      <c r="B334" s="160"/>
      <c r="C334" s="160"/>
      <c r="E334" s="160"/>
      <c r="F334" s="160"/>
      <c r="H334" s="160"/>
      <c r="I334" s="160"/>
      <c r="K334" s="160"/>
      <c r="L334" s="160"/>
    </row>
    <row r="335" spans="2:12" x14ac:dyDescent="0.25">
      <c r="B335" s="160"/>
      <c r="C335" s="160"/>
      <c r="E335" s="160"/>
      <c r="F335" s="160"/>
      <c r="H335" s="160"/>
      <c r="I335" s="160"/>
      <c r="K335" s="160"/>
      <c r="L335" s="160"/>
    </row>
    <row r="336" spans="2:12" x14ac:dyDescent="0.25">
      <c r="B336" s="160"/>
      <c r="C336" s="160"/>
      <c r="E336" s="160"/>
      <c r="F336" s="160"/>
      <c r="H336" s="160"/>
      <c r="I336" s="160"/>
      <c r="K336" s="160"/>
      <c r="L336" s="160"/>
    </row>
    <row r="337" spans="2:12" x14ac:dyDescent="0.25">
      <c r="B337" s="160"/>
      <c r="C337" s="160"/>
      <c r="E337" s="160"/>
      <c r="F337" s="160"/>
      <c r="H337" s="160"/>
      <c r="I337" s="160"/>
      <c r="K337" s="160"/>
      <c r="L337" s="160"/>
    </row>
    <row r="338" spans="2:12" x14ac:dyDescent="0.25">
      <c r="B338" s="160"/>
      <c r="C338" s="160"/>
      <c r="E338" s="160"/>
      <c r="F338" s="160"/>
      <c r="H338" s="160"/>
      <c r="I338" s="160"/>
      <c r="K338" s="160"/>
      <c r="L338" s="160"/>
    </row>
    <row r="339" spans="2:12" x14ac:dyDescent="0.25">
      <c r="B339" s="160"/>
      <c r="C339" s="160"/>
      <c r="E339" s="160"/>
      <c r="F339" s="160"/>
      <c r="H339" s="160"/>
      <c r="I339" s="160"/>
      <c r="K339" s="160"/>
      <c r="L339" s="160"/>
    </row>
    <row r="340" spans="2:12" x14ac:dyDescent="0.25">
      <c r="B340" s="160"/>
      <c r="C340" s="160"/>
      <c r="E340" s="160"/>
      <c r="F340" s="160"/>
      <c r="H340" s="160"/>
      <c r="I340" s="160"/>
      <c r="K340" s="160"/>
      <c r="L340" s="160"/>
    </row>
    <row r="341" spans="2:12" x14ac:dyDescent="0.25">
      <c r="B341" s="160"/>
      <c r="C341" s="160"/>
      <c r="E341" s="160"/>
      <c r="F341" s="160"/>
      <c r="H341" s="160"/>
      <c r="I341" s="160"/>
      <c r="K341" s="160"/>
      <c r="L341" s="160"/>
    </row>
    <row r="342" spans="2:12" x14ac:dyDescent="0.25">
      <c r="B342" s="160"/>
      <c r="C342" s="160"/>
      <c r="E342" s="160"/>
      <c r="F342" s="160"/>
      <c r="H342" s="160"/>
      <c r="I342" s="160"/>
      <c r="K342" s="160"/>
      <c r="L342" s="160"/>
    </row>
    <row r="343" spans="2:12" x14ac:dyDescent="0.25">
      <c r="B343" s="160"/>
      <c r="C343" s="160"/>
      <c r="E343" s="160"/>
      <c r="F343" s="160"/>
      <c r="H343" s="160"/>
      <c r="I343" s="160"/>
      <c r="K343" s="160"/>
      <c r="L343" s="160"/>
    </row>
    <row r="344" spans="2:12" x14ac:dyDescent="0.25">
      <c r="B344" s="160"/>
      <c r="C344" s="160"/>
      <c r="E344" s="160"/>
      <c r="F344" s="160"/>
      <c r="H344" s="160"/>
      <c r="I344" s="160"/>
      <c r="K344" s="160"/>
      <c r="L344" s="160"/>
    </row>
    <row r="345" spans="2:12" x14ac:dyDescent="0.25">
      <c r="B345" s="160"/>
      <c r="C345" s="160"/>
      <c r="E345" s="160"/>
      <c r="F345" s="160"/>
      <c r="H345" s="160"/>
      <c r="I345" s="160"/>
      <c r="K345" s="160"/>
      <c r="L345" s="160"/>
    </row>
    <row r="346" spans="2:12" x14ac:dyDescent="0.25">
      <c r="B346" s="160"/>
      <c r="C346" s="160"/>
      <c r="E346" s="160"/>
      <c r="F346" s="160"/>
      <c r="H346" s="160"/>
      <c r="I346" s="160"/>
      <c r="K346" s="160"/>
      <c r="L346" s="160"/>
    </row>
    <row r="347" spans="2:12" x14ac:dyDescent="0.25">
      <c r="B347" s="160"/>
      <c r="C347" s="160"/>
      <c r="E347" s="160"/>
      <c r="F347" s="160"/>
      <c r="H347" s="160"/>
      <c r="I347" s="160"/>
      <c r="K347" s="160"/>
      <c r="L347" s="160"/>
    </row>
    <row r="348" spans="2:12" x14ac:dyDescent="0.25">
      <c r="B348" s="160"/>
      <c r="C348" s="160"/>
      <c r="E348" s="160"/>
      <c r="F348" s="160"/>
      <c r="H348" s="160"/>
      <c r="I348" s="160"/>
      <c r="K348" s="160"/>
      <c r="L348" s="160"/>
    </row>
    <row r="349" spans="2:12" x14ac:dyDescent="0.25">
      <c r="B349" s="160"/>
      <c r="C349" s="160"/>
      <c r="E349" s="160"/>
      <c r="F349" s="160"/>
      <c r="H349" s="160"/>
      <c r="I349" s="160"/>
      <c r="K349" s="160"/>
      <c r="L349" s="160"/>
    </row>
    <row r="350" spans="2:12" x14ac:dyDescent="0.25">
      <c r="B350" s="160"/>
      <c r="C350" s="160"/>
      <c r="E350" s="160"/>
      <c r="F350" s="160"/>
      <c r="H350" s="160"/>
      <c r="I350" s="160"/>
      <c r="K350" s="160"/>
      <c r="L350" s="160"/>
    </row>
    <row r="351" spans="2:12" x14ac:dyDescent="0.25">
      <c r="B351" s="160"/>
      <c r="C351" s="160"/>
      <c r="E351" s="160"/>
      <c r="F351" s="160"/>
      <c r="H351" s="160"/>
      <c r="I351" s="160"/>
      <c r="K351" s="160"/>
      <c r="L351" s="160"/>
    </row>
    <row r="352" spans="2:12" x14ac:dyDescent="0.25">
      <c r="B352" s="160"/>
      <c r="C352" s="160"/>
      <c r="E352" s="160"/>
      <c r="F352" s="160"/>
      <c r="H352" s="160"/>
      <c r="I352" s="160"/>
      <c r="K352" s="160"/>
      <c r="L352" s="160"/>
    </row>
    <row r="353" spans="2:12" x14ac:dyDescent="0.25">
      <c r="B353" s="160"/>
      <c r="C353" s="160"/>
      <c r="E353" s="160"/>
      <c r="F353" s="160"/>
      <c r="H353" s="160"/>
      <c r="I353" s="160"/>
      <c r="K353" s="160"/>
      <c r="L353" s="160"/>
    </row>
    <row r="354" spans="2:12" x14ac:dyDescent="0.25">
      <c r="B354" s="160"/>
      <c r="C354" s="160"/>
      <c r="E354" s="160"/>
      <c r="F354" s="160"/>
      <c r="H354" s="160"/>
      <c r="I354" s="160"/>
      <c r="K354" s="160"/>
      <c r="L354" s="160"/>
    </row>
    <row r="355" spans="2:12" x14ac:dyDescent="0.25">
      <c r="B355" s="160"/>
      <c r="C355" s="160"/>
      <c r="E355" s="160"/>
      <c r="F355" s="160"/>
      <c r="H355" s="160"/>
      <c r="I355" s="160"/>
      <c r="K355" s="160"/>
      <c r="L355" s="160"/>
    </row>
    <row r="356" spans="2:12" x14ac:dyDescent="0.25">
      <c r="B356" s="160"/>
      <c r="C356" s="160"/>
      <c r="E356" s="160"/>
      <c r="F356" s="160"/>
      <c r="H356" s="160"/>
      <c r="I356" s="160"/>
      <c r="K356" s="160"/>
      <c r="L356" s="160"/>
    </row>
    <row r="357" spans="2:12" x14ac:dyDescent="0.25">
      <c r="B357" s="160"/>
      <c r="C357" s="160"/>
      <c r="E357" s="160"/>
      <c r="F357" s="160"/>
      <c r="H357" s="160"/>
      <c r="I357" s="160"/>
      <c r="K357" s="160"/>
      <c r="L357" s="160"/>
    </row>
    <row r="358" spans="2:12" x14ac:dyDescent="0.25">
      <c r="B358" s="160"/>
      <c r="C358" s="160"/>
      <c r="E358" s="160"/>
      <c r="F358" s="160"/>
      <c r="H358" s="160"/>
      <c r="I358" s="160"/>
      <c r="K358" s="160"/>
      <c r="L358" s="160"/>
    </row>
    <row r="359" spans="2:12" x14ac:dyDescent="0.25">
      <c r="B359" s="160"/>
      <c r="C359" s="160"/>
      <c r="E359" s="160"/>
      <c r="F359" s="160"/>
      <c r="H359" s="160"/>
      <c r="I359" s="160"/>
      <c r="K359" s="160"/>
      <c r="L359" s="160"/>
    </row>
    <row r="360" spans="2:12" x14ac:dyDescent="0.25">
      <c r="B360" s="160"/>
      <c r="C360" s="160"/>
      <c r="E360" s="160"/>
      <c r="F360" s="160"/>
      <c r="H360" s="160"/>
      <c r="I360" s="160"/>
      <c r="K360" s="160"/>
      <c r="L360" s="160"/>
    </row>
    <row r="361" spans="2:12" x14ac:dyDescent="0.25">
      <c r="B361" s="160"/>
      <c r="C361" s="160"/>
      <c r="E361" s="160"/>
      <c r="F361" s="160"/>
      <c r="H361" s="160"/>
      <c r="I361" s="160"/>
      <c r="K361" s="160"/>
      <c r="L361" s="160"/>
    </row>
    <row r="362" spans="2:12" x14ac:dyDescent="0.25">
      <c r="B362" s="160"/>
      <c r="C362" s="160"/>
      <c r="E362" s="160"/>
      <c r="F362" s="160"/>
      <c r="H362" s="160"/>
      <c r="I362" s="160"/>
      <c r="K362" s="160"/>
      <c r="L362" s="160"/>
    </row>
    <row r="363" spans="2:12" x14ac:dyDescent="0.25">
      <c r="B363" s="160"/>
      <c r="C363" s="160"/>
      <c r="E363" s="160"/>
      <c r="F363" s="160"/>
      <c r="H363" s="160"/>
      <c r="I363" s="160"/>
      <c r="K363" s="160"/>
      <c r="L363" s="160"/>
    </row>
    <row r="364" spans="2:12" x14ac:dyDescent="0.25">
      <c r="B364" s="160"/>
      <c r="C364" s="160"/>
      <c r="E364" s="160"/>
      <c r="F364" s="160"/>
      <c r="H364" s="160"/>
      <c r="I364" s="160"/>
      <c r="K364" s="160"/>
      <c r="L364" s="160"/>
    </row>
    <row r="365" spans="2:12" x14ac:dyDescent="0.25">
      <c r="B365" s="160"/>
      <c r="C365" s="160"/>
      <c r="E365" s="160"/>
      <c r="F365" s="160"/>
      <c r="H365" s="160"/>
      <c r="I365" s="160"/>
      <c r="K365" s="160"/>
      <c r="L365" s="160"/>
    </row>
    <row r="366" spans="2:12" x14ac:dyDescent="0.25">
      <c r="B366" s="160"/>
      <c r="C366" s="160"/>
      <c r="E366" s="160"/>
      <c r="F366" s="160"/>
      <c r="H366" s="160"/>
      <c r="I366" s="160"/>
      <c r="K366" s="160"/>
      <c r="L366" s="160"/>
    </row>
    <row r="367" spans="2:12" x14ac:dyDescent="0.25">
      <c r="B367" s="160"/>
      <c r="C367" s="160"/>
      <c r="E367" s="160"/>
      <c r="F367" s="160"/>
      <c r="H367" s="160"/>
      <c r="I367" s="160"/>
      <c r="K367" s="160"/>
      <c r="L367" s="160"/>
    </row>
    <row r="368" spans="2:12" x14ac:dyDescent="0.25">
      <c r="B368" s="160"/>
      <c r="C368" s="160"/>
      <c r="E368" s="160"/>
      <c r="F368" s="160"/>
      <c r="H368" s="160"/>
      <c r="I368" s="160"/>
      <c r="K368" s="160"/>
      <c r="L368" s="160"/>
    </row>
    <row r="369" spans="2:12" x14ac:dyDescent="0.25">
      <c r="B369" s="160"/>
      <c r="C369" s="160"/>
      <c r="E369" s="160"/>
      <c r="F369" s="160"/>
      <c r="H369" s="160"/>
      <c r="I369" s="160"/>
      <c r="K369" s="160"/>
      <c r="L369" s="160"/>
    </row>
    <row r="370" spans="2:12" x14ac:dyDescent="0.25">
      <c r="B370" s="160"/>
      <c r="C370" s="160"/>
      <c r="E370" s="160"/>
      <c r="F370" s="160"/>
      <c r="H370" s="160"/>
      <c r="I370" s="160"/>
      <c r="K370" s="160"/>
      <c r="L370" s="160"/>
    </row>
    <row r="371" spans="2:12" x14ac:dyDescent="0.25">
      <c r="B371" s="160"/>
      <c r="C371" s="160"/>
      <c r="E371" s="160"/>
      <c r="F371" s="160"/>
      <c r="H371" s="160"/>
      <c r="I371" s="160"/>
      <c r="K371" s="160"/>
      <c r="L371" s="160"/>
    </row>
    <row r="372" spans="2:12" x14ac:dyDescent="0.25">
      <c r="B372" s="160"/>
      <c r="C372" s="160"/>
      <c r="E372" s="160"/>
      <c r="F372" s="160"/>
      <c r="H372" s="160"/>
      <c r="I372" s="160"/>
      <c r="K372" s="160"/>
      <c r="L372" s="160"/>
    </row>
    <row r="373" spans="2:12" x14ac:dyDescent="0.25">
      <c r="B373" s="160"/>
      <c r="C373" s="160"/>
      <c r="E373" s="160"/>
      <c r="F373" s="160"/>
      <c r="H373" s="160"/>
      <c r="I373" s="160"/>
      <c r="K373" s="160"/>
      <c r="L373" s="160"/>
    </row>
    <row r="374" spans="2:12" x14ac:dyDescent="0.25">
      <c r="B374" s="160"/>
      <c r="C374" s="160"/>
      <c r="E374" s="160"/>
      <c r="F374" s="160"/>
      <c r="H374" s="160"/>
      <c r="I374" s="160"/>
      <c r="K374" s="160"/>
      <c r="L374" s="160"/>
    </row>
    <row r="375" spans="2:12" x14ac:dyDescent="0.25">
      <c r="B375" s="160"/>
      <c r="C375" s="160"/>
      <c r="E375" s="160"/>
      <c r="F375" s="160"/>
      <c r="H375" s="160"/>
      <c r="I375" s="160"/>
      <c r="K375" s="160"/>
      <c r="L375" s="160"/>
    </row>
    <row r="376" spans="2:12" x14ac:dyDescent="0.25">
      <c r="B376" s="160"/>
      <c r="C376" s="160"/>
      <c r="E376" s="160"/>
      <c r="F376" s="160"/>
      <c r="H376" s="160"/>
      <c r="I376" s="160"/>
      <c r="K376" s="160"/>
      <c r="L376" s="160"/>
    </row>
    <row r="377" spans="2:12" x14ac:dyDescent="0.25">
      <c r="B377" s="160"/>
      <c r="C377" s="160"/>
      <c r="E377" s="160"/>
      <c r="F377" s="160"/>
      <c r="H377" s="160"/>
      <c r="I377" s="160"/>
      <c r="K377" s="160"/>
      <c r="L377" s="160"/>
    </row>
    <row r="378" spans="2:12" x14ac:dyDescent="0.25">
      <c r="B378" s="160"/>
      <c r="C378" s="160"/>
      <c r="E378" s="160"/>
      <c r="F378" s="160"/>
      <c r="H378" s="160"/>
      <c r="I378" s="160"/>
      <c r="K378" s="160"/>
      <c r="L378" s="160"/>
    </row>
    <row r="379" spans="2:12" x14ac:dyDescent="0.25">
      <c r="B379" s="160"/>
      <c r="C379" s="160"/>
      <c r="E379" s="160"/>
      <c r="F379" s="160"/>
      <c r="H379" s="160"/>
      <c r="I379" s="160"/>
      <c r="K379" s="160"/>
      <c r="L379" s="160"/>
    </row>
    <row r="380" spans="2:12" x14ac:dyDescent="0.25">
      <c r="B380" s="160"/>
      <c r="C380" s="160"/>
      <c r="E380" s="160"/>
      <c r="F380" s="160"/>
      <c r="H380" s="160"/>
      <c r="I380" s="160"/>
      <c r="K380" s="160"/>
      <c r="L380" s="160"/>
    </row>
    <row r="381" spans="2:12" x14ac:dyDescent="0.25">
      <c r="B381" s="160"/>
      <c r="C381" s="160"/>
      <c r="E381" s="160"/>
      <c r="F381" s="160"/>
      <c r="H381" s="160"/>
      <c r="I381" s="160"/>
      <c r="K381" s="160"/>
      <c r="L381" s="160"/>
    </row>
    <row r="382" spans="2:12" x14ac:dyDescent="0.25">
      <c r="B382" s="160"/>
      <c r="C382" s="160"/>
      <c r="E382" s="160"/>
      <c r="F382" s="160"/>
      <c r="H382" s="160"/>
      <c r="I382" s="160"/>
      <c r="K382" s="160"/>
      <c r="L382" s="160"/>
    </row>
    <row r="383" spans="2:12" x14ac:dyDescent="0.25">
      <c r="B383" s="160"/>
      <c r="C383" s="160"/>
      <c r="E383" s="160"/>
      <c r="F383" s="160"/>
      <c r="H383" s="160"/>
      <c r="I383" s="160"/>
      <c r="K383" s="160"/>
      <c r="L383" s="160"/>
    </row>
    <row r="384" spans="2:12" x14ac:dyDescent="0.25">
      <c r="B384" s="160"/>
      <c r="C384" s="160"/>
      <c r="E384" s="160"/>
      <c r="F384" s="160"/>
      <c r="H384" s="160"/>
      <c r="I384" s="160"/>
      <c r="K384" s="160"/>
      <c r="L384" s="160"/>
    </row>
    <row r="385" spans="2:12" x14ac:dyDescent="0.25">
      <c r="B385" s="160"/>
      <c r="C385" s="160"/>
      <c r="E385" s="160"/>
      <c r="F385" s="160"/>
      <c r="H385" s="160"/>
      <c r="I385" s="160"/>
      <c r="K385" s="160"/>
      <c r="L385" s="160"/>
    </row>
    <row r="386" spans="2:12" x14ac:dyDescent="0.25">
      <c r="B386" s="160"/>
      <c r="C386" s="160"/>
      <c r="E386" s="160"/>
      <c r="F386" s="160"/>
      <c r="H386" s="160"/>
      <c r="I386" s="160"/>
      <c r="K386" s="160"/>
      <c r="L386" s="160"/>
    </row>
    <row r="387" spans="2:12" x14ac:dyDescent="0.25">
      <c r="B387" s="160"/>
      <c r="C387" s="160"/>
      <c r="E387" s="160"/>
      <c r="F387" s="160"/>
      <c r="H387" s="160"/>
      <c r="I387" s="160"/>
      <c r="K387" s="160"/>
      <c r="L387" s="160"/>
    </row>
    <row r="388" spans="2:12" x14ac:dyDescent="0.25">
      <c r="B388" s="160"/>
      <c r="C388" s="160"/>
      <c r="E388" s="160"/>
      <c r="F388" s="160"/>
      <c r="H388" s="160"/>
      <c r="I388" s="160"/>
      <c r="K388" s="160"/>
      <c r="L388" s="160"/>
    </row>
    <row r="389" spans="2:12" x14ac:dyDescent="0.25">
      <c r="B389" s="160"/>
      <c r="C389" s="160"/>
      <c r="E389" s="160"/>
      <c r="F389" s="160"/>
      <c r="H389" s="160"/>
      <c r="I389" s="160"/>
      <c r="K389" s="160"/>
      <c r="L389" s="160"/>
    </row>
    <row r="390" spans="2:12" x14ac:dyDescent="0.25">
      <c r="B390" s="160"/>
      <c r="C390" s="160"/>
      <c r="E390" s="160"/>
      <c r="F390" s="160"/>
      <c r="H390" s="160"/>
      <c r="I390" s="160"/>
      <c r="K390" s="160"/>
      <c r="L390" s="160"/>
    </row>
    <row r="391" spans="2:12" x14ac:dyDescent="0.25">
      <c r="B391" s="160"/>
      <c r="C391" s="160"/>
      <c r="E391" s="160"/>
      <c r="F391" s="160"/>
      <c r="H391" s="160"/>
      <c r="I391" s="160"/>
      <c r="K391" s="160"/>
      <c r="L391" s="160"/>
    </row>
    <row r="392" spans="2:12" x14ac:dyDescent="0.25">
      <c r="B392" s="160"/>
      <c r="C392" s="160"/>
      <c r="E392" s="160"/>
      <c r="F392" s="160"/>
      <c r="H392" s="160"/>
      <c r="I392" s="160"/>
      <c r="K392" s="160"/>
      <c r="L392" s="160"/>
    </row>
    <row r="393" spans="2:12" x14ac:dyDescent="0.25">
      <c r="B393" s="160"/>
      <c r="C393" s="160"/>
      <c r="E393" s="160"/>
      <c r="F393" s="160"/>
      <c r="H393" s="160"/>
      <c r="I393" s="160"/>
      <c r="K393" s="160"/>
      <c r="L393" s="160"/>
    </row>
    <row r="394" spans="2:12" x14ac:dyDescent="0.25">
      <c r="B394" s="160"/>
      <c r="C394" s="160"/>
      <c r="E394" s="160"/>
      <c r="F394" s="160"/>
      <c r="H394" s="160"/>
      <c r="I394" s="160"/>
      <c r="K394" s="160"/>
      <c r="L394" s="160"/>
    </row>
    <row r="395" spans="2:12" x14ac:dyDescent="0.25">
      <c r="B395" s="160"/>
      <c r="C395" s="160"/>
      <c r="E395" s="160"/>
      <c r="F395" s="160"/>
      <c r="H395" s="160"/>
      <c r="I395" s="160"/>
      <c r="K395" s="160"/>
      <c r="L395" s="160"/>
    </row>
    <row r="396" spans="2:12" x14ac:dyDescent="0.25">
      <c r="B396" s="160"/>
      <c r="C396" s="160"/>
      <c r="E396" s="160"/>
      <c r="F396" s="160"/>
      <c r="H396" s="160"/>
      <c r="I396" s="160"/>
      <c r="K396" s="160"/>
      <c r="L396" s="160"/>
    </row>
    <row r="397" spans="2:12" x14ac:dyDescent="0.25">
      <c r="B397" s="160"/>
      <c r="C397" s="160"/>
      <c r="E397" s="160"/>
      <c r="F397" s="160"/>
      <c r="H397" s="160"/>
      <c r="I397" s="160"/>
      <c r="K397" s="160"/>
      <c r="L397" s="160"/>
    </row>
    <row r="398" spans="2:12" x14ac:dyDescent="0.25">
      <c r="B398" s="160"/>
      <c r="C398" s="160"/>
      <c r="E398" s="160"/>
      <c r="F398" s="160"/>
      <c r="H398" s="160"/>
      <c r="I398" s="160"/>
      <c r="K398" s="160"/>
      <c r="L398" s="160"/>
    </row>
    <row r="399" spans="2:12" x14ac:dyDescent="0.25">
      <c r="B399" s="160"/>
      <c r="C399" s="160"/>
      <c r="E399" s="160"/>
      <c r="F399" s="160"/>
      <c r="H399" s="160"/>
      <c r="I399" s="160"/>
      <c r="K399" s="160"/>
      <c r="L399" s="160"/>
    </row>
    <row r="400" spans="2:12" x14ac:dyDescent="0.25">
      <c r="B400" s="160"/>
      <c r="C400" s="160"/>
      <c r="E400" s="160"/>
      <c r="F400" s="160"/>
      <c r="H400" s="160"/>
      <c r="I400" s="160"/>
      <c r="K400" s="160"/>
      <c r="L400" s="160"/>
    </row>
    <row r="401" spans="2:12" x14ac:dyDescent="0.25">
      <c r="B401" s="160"/>
      <c r="C401" s="160"/>
      <c r="E401" s="160"/>
      <c r="F401" s="160"/>
      <c r="H401" s="160"/>
      <c r="I401" s="160"/>
      <c r="K401" s="160"/>
      <c r="L401" s="160"/>
    </row>
    <row r="402" spans="2:12" x14ac:dyDescent="0.25">
      <c r="B402" s="160"/>
      <c r="C402" s="160"/>
      <c r="E402" s="160"/>
      <c r="F402" s="160"/>
      <c r="H402" s="160"/>
      <c r="I402" s="160"/>
      <c r="K402" s="160"/>
      <c r="L402" s="160"/>
    </row>
    <row r="403" spans="2:12" x14ac:dyDescent="0.25">
      <c r="B403" s="160"/>
      <c r="C403" s="160"/>
      <c r="E403" s="160"/>
      <c r="F403" s="160"/>
      <c r="H403" s="160"/>
      <c r="I403" s="160"/>
      <c r="K403" s="160"/>
      <c r="L403" s="160"/>
    </row>
    <row r="404" spans="2:12" x14ac:dyDescent="0.25">
      <c r="B404" s="160"/>
      <c r="C404" s="160"/>
      <c r="E404" s="160"/>
      <c r="F404" s="160"/>
      <c r="H404" s="160"/>
      <c r="I404" s="160"/>
      <c r="K404" s="160"/>
      <c r="L404" s="160"/>
    </row>
    <row r="405" spans="2:12" x14ac:dyDescent="0.25">
      <c r="B405" s="160"/>
      <c r="C405" s="160"/>
      <c r="E405" s="160"/>
      <c r="F405" s="160"/>
      <c r="H405" s="160"/>
      <c r="I405" s="160"/>
      <c r="K405" s="160"/>
      <c r="L405" s="160"/>
    </row>
    <row r="406" spans="2:12" x14ac:dyDescent="0.25">
      <c r="B406" s="160"/>
      <c r="C406" s="160"/>
      <c r="E406" s="160"/>
      <c r="F406" s="160"/>
      <c r="H406" s="160"/>
      <c r="I406" s="160"/>
      <c r="K406" s="160"/>
      <c r="L406" s="160"/>
    </row>
    <row r="407" spans="2:12" x14ac:dyDescent="0.25">
      <c r="B407" s="160"/>
      <c r="C407" s="160"/>
      <c r="E407" s="160"/>
      <c r="F407" s="160"/>
      <c r="H407" s="160"/>
      <c r="I407" s="160"/>
      <c r="K407" s="160"/>
      <c r="L407" s="160"/>
    </row>
    <row r="408" spans="2:12" x14ac:dyDescent="0.25">
      <c r="B408" s="160"/>
      <c r="C408" s="160"/>
      <c r="E408" s="160"/>
      <c r="F408" s="160"/>
      <c r="H408" s="160"/>
      <c r="I408" s="160"/>
      <c r="K408" s="160"/>
      <c r="L408" s="160"/>
    </row>
    <row r="409" spans="2:12" x14ac:dyDescent="0.25">
      <c r="B409" s="160"/>
      <c r="C409" s="160"/>
      <c r="E409" s="160"/>
      <c r="F409" s="160"/>
      <c r="H409" s="160"/>
      <c r="I409" s="160"/>
      <c r="K409" s="160"/>
      <c r="L409" s="160"/>
    </row>
    <row r="410" spans="2:12" x14ac:dyDescent="0.25">
      <c r="B410" s="160"/>
      <c r="C410" s="160"/>
      <c r="E410" s="160"/>
      <c r="F410" s="160"/>
      <c r="H410" s="160"/>
      <c r="I410" s="160"/>
      <c r="K410" s="160"/>
      <c r="L410" s="160"/>
    </row>
    <row r="411" spans="2:12" x14ac:dyDescent="0.25">
      <c r="B411" s="160"/>
      <c r="C411" s="160"/>
      <c r="E411" s="160"/>
      <c r="F411" s="160"/>
      <c r="H411" s="160"/>
      <c r="I411" s="160"/>
      <c r="K411" s="160"/>
      <c r="L411" s="160"/>
    </row>
    <row r="412" spans="2:12" x14ac:dyDescent="0.25">
      <c r="B412" s="160"/>
      <c r="C412" s="160"/>
      <c r="E412" s="160"/>
      <c r="F412" s="160"/>
      <c r="H412" s="160"/>
      <c r="I412" s="160"/>
      <c r="K412" s="160"/>
      <c r="L412" s="160"/>
    </row>
    <row r="413" spans="2:12" x14ac:dyDescent="0.25">
      <c r="B413" s="160"/>
      <c r="C413" s="160"/>
      <c r="E413" s="160"/>
      <c r="F413" s="160"/>
      <c r="H413" s="160"/>
      <c r="I413" s="160"/>
      <c r="K413" s="160"/>
      <c r="L413" s="160"/>
    </row>
    <row r="414" spans="2:12" x14ac:dyDescent="0.25">
      <c r="B414" s="160"/>
      <c r="C414" s="160"/>
      <c r="E414" s="160"/>
      <c r="F414" s="160"/>
      <c r="H414" s="160"/>
      <c r="I414" s="160"/>
      <c r="K414" s="160"/>
      <c r="L414" s="160"/>
    </row>
    <row r="415" spans="2:12" x14ac:dyDescent="0.25">
      <c r="B415" s="160"/>
      <c r="C415" s="160"/>
      <c r="E415" s="160"/>
      <c r="F415" s="160"/>
      <c r="H415" s="160"/>
      <c r="I415" s="160"/>
      <c r="K415" s="160"/>
      <c r="L415" s="160"/>
    </row>
    <row r="416" spans="2:12" x14ac:dyDescent="0.25">
      <c r="B416" s="160"/>
      <c r="C416" s="160"/>
      <c r="E416" s="160"/>
      <c r="F416" s="160"/>
      <c r="H416" s="160"/>
      <c r="I416" s="160"/>
      <c r="K416" s="160"/>
      <c r="L416" s="160"/>
    </row>
    <row r="417" spans="2:12" x14ac:dyDescent="0.25">
      <c r="B417" s="160"/>
      <c r="C417" s="160"/>
      <c r="E417" s="160"/>
      <c r="F417" s="160"/>
      <c r="H417" s="160"/>
      <c r="I417" s="160"/>
      <c r="K417" s="160"/>
      <c r="L417" s="160"/>
    </row>
    <row r="418" spans="2:12" x14ac:dyDescent="0.25">
      <c r="B418" s="160"/>
      <c r="C418" s="160"/>
      <c r="E418" s="160"/>
      <c r="F418" s="160"/>
      <c r="H418" s="160"/>
      <c r="I418" s="160"/>
      <c r="K418" s="160"/>
      <c r="L418" s="160"/>
    </row>
    <row r="419" spans="2:12" x14ac:dyDescent="0.25">
      <c r="B419" s="160"/>
      <c r="C419" s="160"/>
      <c r="E419" s="160"/>
      <c r="F419" s="160"/>
      <c r="H419" s="160"/>
      <c r="I419" s="160"/>
      <c r="K419" s="160"/>
      <c r="L419" s="160"/>
    </row>
    <row r="420" spans="2:12" x14ac:dyDescent="0.25">
      <c r="B420" s="160"/>
      <c r="C420" s="160"/>
      <c r="E420" s="160"/>
      <c r="F420" s="160"/>
      <c r="H420" s="160"/>
      <c r="I420" s="160"/>
      <c r="K420" s="160"/>
      <c r="L420" s="160"/>
    </row>
    <row r="421" spans="2:12" x14ac:dyDescent="0.25">
      <c r="B421" s="160"/>
      <c r="C421" s="160"/>
      <c r="E421" s="160"/>
      <c r="F421" s="160"/>
      <c r="H421" s="160"/>
      <c r="I421" s="160"/>
      <c r="K421" s="160"/>
      <c r="L421" s="160"/>
    </row>
    <row r="422" spans="2:12" x14ac:dyDescent="0.25">
      <c r="B422" s="160"/>
      <c r="C422" s="160"/>
      <c r="E422" s="160"/>
      <c r="F422" s="160"/>
      <c r="H422" s="160"/>
      <c r="I422" s="160"/>
      <c r="K422" s="160"/>
      <c r="L422" s="160"/>
    </row>
    <row r="423" spans="2:12" x14ac:dyDescent="0.25">
      <c r="B423" s="160"/>
      <c r="C423" s="160"/>
      <c r="E423" s="160"/>
      <c r="F423" s="160"/>
      <c r="H423" s="160"/>
      <c r="I423" s="160"/>
      <c r="K423" s="160"/>
      <c r="L423" s="160"/>
    </row>
    <row r="424" spans="2:12" x14ac:dyDescent="0.25">
      <c r="B424" s="160"/>
      <c r="C424" s="160"/>
      <c r="E424" s="160"/>
      <c r="F424" s="160"/>
      <c r="H424" s="160"/>
      <c r="I424" s="160"/>
      <c r="K424" s="160"/>
      <c r="L424" s="160"/>
    </row>
    <row r="425" spans="2:12" x14ac:dyDescent="0.25">
      <c r="B425" s="160"/>
      <c r="C425" s="160"/>
      <c r="E425" s="160"/>
      <c r="F425" s="160"/>
      <c r="H425" s="160"/>
      <c r="I425" s="160"/>
      <c r="K425" s="160"/>
      <c r="L425" s="160"/>
    </row>
    <row r="426" spans="2:12" x14ac:dyDescent="0.25">
      <c r="B426" s="160"/>
      <c r="C426" s="160"/>
      <c r="E426" s="160"/>
      <c r="F426" s="160"/>
      <c r="H426" s="160"/>
      <c r="I426" s="160"/>
      <c r="K426" s="160"/>
      <c r="L426" s="160"/>
    </row>
    <row r="427" spans="2:12" x14ac:dyDescent="0.25">
      <c r="B427" s="160"/>
      <c r="C427" s="160"/>
      <c r="E427" s="160"/>
      <c r="F427" s="160"/>
      <c r="H427" s="160"/>
      <c r="I427" s="160"/>
      <c r="K427" s="160"/>
      <c r="L427" s="160"/>
    </row>
    <row r="428" spans="2:12" x14ac:dyDescent="0.25">
      <c r="B428" s="160"/>
      <c r="C428" s="160"/>
      <c r="E428" s="160"/>
      <c r="F428" s="160"/>
      <c r="H428" s="160"/>
      <c r="I428" s="160"/>
      <c r="K428" s="160"/>
      <c r="L428" s="160"/>
    </row>
    <row r="429" spans="2:12" x14ac:dyDescent="0.25">
      <c r="B429" s="160"/>
      <c r="C429" s="160"/>
      <c r="E429" s="160"/>
      <c r="F429" s="160"/>
      <c r="H429" s="160"/>
      <c r="I429" s="160"/>
      <c r="K429" s="160"/>
      <c r="L429" s="160"/>
    </row>
    <row r="430" spans="2:12" x14ac:dyDescent="0.25">
      <c r="B430" s="160"/>
      <c r="C430" s="160"/>
      <c r="E430" s="160"/>
      <c r="F430" s="160"/>
      <c r="H430" s="160"/>
      <c r="I430" s="160"/>
      <c r="K430" s="160"/>
      <c r="L430" s="160"/>
    </row>
    <row r="431" spans="2:12" x14ac:dyDescent="0.25">
      <c r="B431" s="160"/>
      <c r="C431" s="160"/>
      <c r="E431" s="160"/>
      <c r="F431" s="160"/>
      <c r="H431" s="160"/>
      <c r="I431" s="160"/>
      <c r="K431" s="160"/>
      <c r="L431" s="160"/>
    </row>
    <row r="432" spans="2:12" x14ac:dyDescent="0.25">
      <c r="B432" s="160"/>
      <c r="C432" s="160"/>
      <c r="E432" s="160"/>
      <c r="F432" s="160"/>
      <c r="H432" s="160"/>
      <c r="I432" s="160"/>
      <c r="K432" s="160"/>
      <c r="L432" s="160"/>
    </row>
    <row r="433" spans="2:12" x14ac:dyDescent="0.25">
      <c r="B433" s="160"/>
      <c r="C433" s="160"/>
      <c r="E433" s="160"/>
      <c r="F433" s="160"/>
      <c r="H433" s="160"/>
      <c r="I433" s="160"/>
      <c r="K433" s="160"/>
      <c r="L433" s="160"/>
    </row>
    <row r="434" spans="2:12" x14ac:dyDescent="0.25">
      <c r="B434" s="160"/>
      <c r="C434" s="160"/>
      <c r="E434" s="160"/>
      <c r="F434" s="160"/>
      <c r="H434" s="160"/>
      <c r="I434" s="160"/>
      <c r="K434" s="160"/>
      <c r="L434" s="160"/>
    </row>
    <row r="435" spans="2:12" x14ac:dyDescent="0.25">
      <c r="B435" s="160"/>
      <c r="C435" s="160"/>
      <c r="E435" s="160"/>
      <c r="F435" s="160"/>
      <c r="H435" s="160"/>
      <c r="I435" s="160"/>
      <c r="K435" s="160"/>
      <c r="L435" s="160"/>
    </row>
    <row r="436" spans="2:12" x14ac:dyDescent="0.25">
      <c r="B436" s="160"/>
      <c r="C436" s="160"/>
      <c r="E436" s="160"/>
      <c r="F436" s="160"/>
      <c r="H436" s="160"/>
      <c r="I436" s="160"/>
      <c r="K436" s="160"/>
      <c r="L436" s="160"/>
    </row>
    <row r="437" spans="2:12" x14ac:dyDescent="0.25">
      <c r="B437" s="160"/>
      <c r="C437" s="160"/>
      <c r="E437" s="160"/>
      <c r="F437" s="160"/>
      <c r="H437" s="160"/>
      <c r="I437" s="160"/>
      <c r="K437" s="160"/>
      <c r="L437" s="160"/>
    </row>
    <row r="438" spans="2:12" x14ac:dyDescent="0.25">
      <c r="B438" s="160"/>
      <c r="C438" s="160"/>
      <c r="E438" s="160"/>
      <c r="F438" s="160"/>
      <c r="H438" s="160"/>
      <c r="I438" s="160"/>
      <c r="K438" s="160"/>
      <c r="L438" s="160"/>
    </row>
    <row r="439" spans="2:12" x14ac:dyDescent="0.25">
      <c r="B439" s="160"/>
      <c r="C439" s="160"/>
      <c r="E439" s="160"/>
      <c r="F439" s="160"/>
      <c r="H439" s="160"/>
      <c r="I439" s="160"/>
      <c r="K439" s="160"/>
      <c r="L439" s="160"/>
    </row>
    <row r="440" spans="2:12" x14ac:dyDescent="0.25">
      <c r="B440" s="160"/>
      <c r="C440" s="160"/>
      <c r="E440" s="160"/>
      <c r="F440" s="160"/>
      <c r="H440" s="160"/>
      <c r="I440" s="160"/>
      <c r="K440" s="160"/>
      <c r="L440" s="160"/>
    </row>
    <row r="441" spans="2:12" x14ac:dyDescent="0.25">
      <c r="B441" s="160"/>
      <c r="C441" s="160"/>
      <c r="E441" s="160"/>
      <c r="F441" s="160"/>
      <c r="H441" s="160"/>
      <c r="I441" s="160"/>
      <c r="K441" s="160"/>
      <c r="L441" s="160"/>
    </row>
    <row r="442" spans="2:12" x14ac:dyDescent="0.25">
      <c r="B442" s="160"/>
      <c r="C442" s="160"/>
      <c r="E442" s="160"/>
      <c r="F442" s="160"/>
      <c r="H442" s="160"/>
      <c r="I442" s="160"/>
      <c r="K442" s="160"/>
      <c r="L442" s="160"/>
    </row>
    <row r="443" spans="2:12" x14ac:dyDescent="0.25">
      <c r="B443" s="160"/>
      <c r="C443" s="160"/>
      <c r="E443" s="160"/>
      <c r="F443" s="160"/>
      <c r="H443" s="160"/>
      <c r="I443" s="160"/>
      <c r="K443" s="160"/>
      <c r="L443" s="160"/>
    </row>
    <row r="444" spans="2:12" x14ac:dyDescent="0.25">
      <c r="B444" s="160"/>
      <c r="C444" s="160"/>
      <c r="E444" s="160"/>
      <c r="F444" s="160"/>
      <c r="H444" s="160"/>
      <c r="I444" s="160"/>
      <c r="K444" s="160"/>
      <c r="L444" s="160"/>
    </row>
    <row r="445" spans="2:12" x14ac:dyDescent="0.25">
      <c r="B445" s="160"/>
      <c r="C445" s="160"/>
      <c r="E445" s="160"/>
      <c r="F445" s="160"/>
      <c r="H445" s="160"/>
      <c r="I445" s="160"/>
      <c r="K445" s="160"/>
      <c r="L445" s="160"/>
    </row>
    <row r="446" spans="2:12" x14ac:dyDescent="0.25">
      <c r="B446" s="160"/>
      <c r="C446" s="160"/>
      <c r="E446" s="160"/>
      <c r="F446" s="160"/>
      <c r="H446" s="160"/>
      <c r="I446" s="160"/>
      <c r="K446" s="160"/>
      <c r="L446" s="160"/>
    </row>
    <row r="447" spans="2:12" x14ac:dyDescent="0.25">
      <c r="B447" s="160"/>
      <c r="C447" s="160"/>
      <c r="E447" s="160"/>
      <c r="F447" s="160"/>
      <c r="H447" s="160"/>
      <c r="I447" s="160"/>
      <c r="K447" s="160"/>
      <c r="L447" s="160"/>
    </row>
    <row r="448" spans="2:12" x14ac:dyDescent="0.25">
      <c r="B448" s="160"/>
      <c r="C448" s="160"/>
      <c r="E448" s="160"/>
      <c r="F448" s="160"/>
      <c r="H448" s="160"/>
      <c r="I448" s="160"/>
      <c r="K448" s="160"/>
      <c r="L448" s="160"/>
    </row>
    <row r="449" spans="2:12" x14ac:dyDescent="0.25">
      <c r="B449" s="160"/>
      <c r="C449" s="160"/>
      <c r="E449" s="160"/>
      <c r="F449" s="160"/>
      <c r="H449" s="160"/>
      <c r="I449" s="160"/>
      <c r="K449" s="160"/>
      <c r="L449" s="160"/>
    </row>
    <row r="450" spans="2:12" x14ac:dyDescent="0.25">
      <c r="B450" s="160"/>
      <c r="C450" s="160"/>
      <c r="E450" s="160"/>
      <c r="F450" s="160"/>
      <c r="H450" s="160"/>
      <c r="I450" s="160"/>
      <c r="K450" s="160"/>
      <c r="L450" s="160"/>
    </row>
    <row r="451" spans="2:12" x14ac:dyDescent="0.25">
      <c r="B451" s="160"/>
      <c r="C451" s="160"/>
      <c r="E451" s="160"/>
      <c r="F451" s="160"/>
      <c r="H451" s="160"/>
      <c r="I451" s="160"/>
      <c r="K451" s="160"/>
      <c r="L451" s="160"/>
    </row>
    <row r="452" spans="2:12" x14ac:dyDescent="0.25">
      <c r="B452" s="160"/>
      <c r="C452" s="160"/>
      <c r="E452" s="160"/>
      <c r="F452" s="160"/>
      <c r="H452" s="160"/>
      <c r="I452" s="160"/>
      <c r="K452" s="160"/>
      <c r="L452" s="160"/>
    </row>
    <row r="453" spans="2:12" x14ac:dyDescent="0.25">
      <c r="B453" s="160"/>
      <c r="C453" s="160"/>
      <c r="E453" s="160"/>
      <c r="F453" s="160"/>
      <c r="H453" s="160"/>
      <c r="I453" s="160"/>
      <c r="K453" s="160"/>
      <c r="L453" s="160"/>
    </row>
    <row r="454" spans="2:12" x14ac:dyDescent="0.25">
      <c r="B454" s="160"/>
      <c r="C454" s="160"/>
      <c r="E454" s="160"/>
      <c r="F454" s="160"/>
      <c r="H454" s="160"/>
      <c r="I454" s="160"/>
      <c r="K454" s="160"/>
      <c r="L454" s="160"/>
    </row>
    <row r="455" spans="2:12" x14ac:dyDescent="0.25">
      <c r="B455" s="160"/>
      <c r="C455" s="160"/>
      <c r="E455" s="160"/>
      <c r="F455" s="160"/>
      <c r="H455" s="160"/>
      <c r="I455" s="160"/>
      <c r="K455" s="160"/>
      <c r="L455" s="160"/>
    </row>
    <row r="456" spans="2:12" x14ac:dyDescent="0.25">
      <c r="B456" s="160"/>
      <c r="C456" s="160"/>
      <c r="E456" s="160"/>
      <c r="F456" s="160"/>
      <c r="H456" s="160"/>
      <c r="I456" s="160"/>
      <c r="K456" s="160"/>
      <c r="L456" s="160"/>
    </row>
    <row r="457" spans="2:12" x14ac:dyDescent="0.25">
      <c r="B457" s="160"/>
      <c r="C457" s="160"/>
      <c r="E457" s="160"/>
      <c r="F457" s="160"/>
      <c r="H457" s="160"/>
      <c r="I457" s="160"/>
      <c r="K457" s="160"/>
      <c r="L457" s="160"/>
    </row>
    <row r="458" spans="2:12" x14ac:dyDescent="0.25">
      <c r="B458" s="160"/>
      <c r="C458" s="160"/>
      <c r="E458" s="160"/>
      <c r="F458" s="160"/>
      <c r="H458" s="160"/>
      <c r="I458" s="160"/>
      <c r="K458" s="160"/>
      <c r="L458" s="160"/>
    </row>
    <row r="459" spans="2:12" x14ac:dyDescent="0.25">
      <c r="B459" s="160"/>
      <c r="C459" s="160"/>
      <c r="E459" s="160"/>
      <c r="F459" s="160"/>
      <c r="H459" s="160"/>
      <c r="I459" s="160"/>
      <c r="K459" s="160"/>
      <c r="L459" s="160"/>
    </row>
    <row r="460" spans="2:12" x14ac:dyDescent="0.25">
      <c r="B460" s="160"/>
      <c r="C460" s="160"/>
      <c r="E460" s="160"/>
      <c r="F460" s="160"/>
      <c r="H460" s="160"/>
      <c r="I460" s="160"/>
      <c r="K460" s="160"/>
      <c r="L460" s="160"/>
    </row>
    <row r="461" spans="2:12" x14ac:dyDescent="0.25">
      <c r="B461" s="160"/>
      <c r="C461" s="160"/>
      <c r="E461" s="160"/>
      <c r="F461" s="160"/>
      <c r="H461" s="160"/>
      <c r="I461" s="160"/>
      <c r="K461" s="160"/>
      <c r="L461" s="160"/>
    </row>
    <row r="462" spans="2:12" x14ac:dyDescent="0.25">
      <c r="B462" s="160"/>
      <c r="C462" s="160"/>
      <c r="E462" s="160"/>
      <c r="F462" s="160"/>
      <c r="H462" s="160"/>
      <c r="I462" s="160"/>
      <c r="K462" s="160"/>
      <c r="L462" s="160"/>
    </row>
    <row r="463" spans="2:12" x14ac:dyDescent="0.25">
      <c r="B463" s="160"/>
      <c r="C463" s="160"/>
      <c r="E463" s="160"/>
      <c r="F463" s="160"/>
      <c r="H463" s="160"/>
      <c r="I463" s="160"/>
      <c r="K463" s="160"/>
      <c r="L463" s="160"/>
    </row>
    <row r="464" spans="2:12" x14ac:dyDescent="0.25">
      <c r="B464" s="160"/>
      <c r="C464" s="160"/>
      <c r="E464" s="160"/>
      <c r="F464" s="160"/>
      <c r="H464" s="160"/>
      <c r="I464" s="160"/>
      <c r="K464" s="160"/>
      <c r="L464" s="160"/>
    </row>
    <row r="465" spans="2:12" x14ac:dyDescent="0.25">
      <c r="B465" s="160"/>
      <c r="C465" s="160"/>
      <c r="E465" s="160"/>
      <c r="F465" s="160"/>
      <c r="H465" s="160"/>
      <c r="I465" s="160"/>
      <c r="K465" s="160"/>
      <c r="L465" s="160"/>
    </row>
    <row r="466" spans="2:12" x14ac:dyDescent="0.25">
      <c r="B466" s="160"/>
      <c r="C466" s="160"/>
      <c r="E466" s="160"/>
      <c r="F466" s="160"/>
      <c r="H466" s="160"/>
      <c r="I466" s="160"/>
      <c r="K466" s="160"/>
      <c r="L466" s="160"/>
    </row>
    <row r="467" spans="2:12" x14ac:dyDescent="0.25">
      <c r="B467" s="160"/>
      <c r="C467" s="160"/>
      <c r="E467" s="160"/>
      <c r="F467" s="160"/>
      <c r="H467" s="160"/>
      <c r="I467" s="160"/>
      <c r="K467" s="160"/>
      <c r="L467" s="160"/>
    </row>
    <row r="468" spans="2:12" x14ac:dyDescent="0.25">
      <c r="B468" s="160"/>
      <c r="C468" s="160"/>
      <c r="E468" s="160"/>
      <c r="F468" s="160"/>
      <c r="H468" s="160"/>
      <c r="I468" s="160"/>
      <c r="K468" s="160"/>
      <c r="L468" s="160"/>
    </row>
    <row r="469" spans="2:12" x14ac:dyDescent="0.25">
      <c r="B469" s="160"/>
      <c r="C469" s="160"/>
      <c r="E469" s="160"/>
      <c r="F469" s="160"/>
      <c r="H469" s="160"/>
      <c r="I469" s="160"/>
      <c r="K469" s="160"/>
      <c r="L469" s="160"/>
    </row>
    <row r="470" spans="2:12" x14ac:dyDescent="0.25">
      <c r="B470" s="160"/>
      <c r="C470" s="160"/>
      <c r="E470" s="160"/>
      <c r="F470" s="160"/>
      <c r="H470" s="160"/>
      <c r="I470" s="160"/>
      <c r="K470" s="160"/>
      <c r="L470" s="160"/>
    </row>
    <row r="471" spans="2:12" x14ac:dyDescent="0.25">
      <c r="B471" s="160"/>
      <c r="C471" s="160"/>
      <c r="E471" s="160"/>
      <c r="F471" s="160"/>
      <c r="H471" s="160"/>
      <c r="I471" s="160"/>
      <c r="K471" s="160"/>
      <c r="L471" s="160"/>
    </row>
    <row r="472" spans="2:12" x14ac:dyDescent="0.25">
      <c r="B472" s="160"/>
      <c r="C472" s="160"/>
      <c r="E472" s="160"/>
      <c r="F472" s="160"/>
      <c r="H472" s="160"/>
      <c r="I472" s="160"/>
      <c r="K472" s="160"/>
      <c r="L472" s="160"/>
    </row>
    <row r="473" spans="2:12" x14ac:dyDescent="0.25">
      <c r="B473" s="160"/>
      <c r="C473" s="160"/>
      <c r="E473" s="160"/>
      <c r="F473" s="160"/>
      <c r="H473" s="160"/>
      <c r="I473" s="160"/>
      <c r="K473" s="160"/>
      <c r="L473" s="160"/>
    </row>
    <row r="474" spans="2:12" x14ac:dyDescent="0.25">
      <c r="B474" s="160"/>
      <c r="C474" s="160"/>
      <c r="E474" s="160"/>
      <c r="F474" s="160"/>
      <c r="H474" s="160"/>
      <c r="I474" s="160"/>
      <c r="K474" s="160"/>
      <c r="L474" s="160"/>
    </row>
    <row r="475" spans="2:12" x14ac:dyDescent="0.25">
      <c r="B475" s="160"/>
      <c r="C475" s="160"/>
      <c r="E475" s="160"/>
      <c r="F475" s="160"/>
      <c r="H475" s="160"/>
      <c r="I475" s="160"/>
      <c r="K475" s="160"/>
      <c r="L475" s="160"/>
    </row>
    <row r="476" spans="2:12" x14ac:dyDescent="0.25">
      <c r="B476" s="160"/>
      <c r="C476" s="160"/>
      <c r="E476" s="160"/>
      <c r="F476" s="160"/>
      <c r="H476" s="160"/>
      <c r="I476" s="160"/>
      <c r="K476" s="160"/>
      <c r="L476" s="160"/>
    </row>
    <row r="477" spans="2:12" x14ac:dyDescent="0.25">
      <c r="B477" s="160"/>
      <c r="C477" s="160"/>
      <c r="E477" s="160"/>
      <c r="F477" s="160"/>
      <c r="H477" s="160"/>
      <c r="I477" s="160"/>
      <c r="K477" s="160"/>
      <c r="L477" s="160"/>
    </row>
    <row r="478" spans="2:12" x14ac:dyDescent="0.25">
      <c r="B478" s="160"/>
      <c r="C478" s="160"/>
      <c r="E478" s="160"/>
      <c r="F478" s="160"/>
      <c r="H478" s="160"/>
      <c r="I478" s="160"/>
      <c r="K478" s="160"/>
      <c r="L478" s="160"/>
    </row>
    <row r="479" spans="2:12" x14ac:dyDescent="0.25">
      <c r="B479" s="160"/>
      <c r="C479" s="160"/>
      <c r="E479" s="160"/>
      <c r="F479" s="160"/>
      <c r="H479" s="160"/>
      <c r="I479" s="160"/>
      <c r="K479" s="160"/>
      <c r="L479" s="160"/>
    </row>
    <row r="480" spans="2:12" x14ac:dyDescent="0.25">
      <c r="B480" s="160"/>
      <c r="C480" s="160"/>
      <c r="E480" s="160"/>
      <c r="F480" s="160"/>
      <c r="H480" s="160"/>
      <c r="I480" s="160"/>
      <c r="K480" s="160"/>
      <c r="L480" s="160"/>
    </row>
    <row r="481" spans="2:12" x14ac:dyDescent="0.25">
      <c r="B481" s="160"/>
      <c r="C481" s="160"/>
      <c r="E481" s="160"/>
      <c r="F481" s="160"/>
      <c r="H481" s="160"/>
      <c r="I481" s="160"/>
      <c r="K481" s="160"/>
      <c r="L481" s="160"/>
    </row>
    <row r="482" spans="2:12" x14ac:dyDescent="0.25">
      <c r="B482" s="160"/>
      <c r="C482" s="160"/>
      <c r="E482" s="160"/>
      <c r="F482" s="160"/>
      <c r="H482" s="160"/>
      <c r="I482" s="160"/>
      <c r="K482" s="160"/>
      <c r="L482" s="160"/>
    </row>
    <row r="483" spans="2:12" x14ac:dyDescent="0.25">
      <c r="B483" s="160"/>
      <c r="C483" s="160"/>
      <c r="E483" s="160"/>
      <c r="F483" s="160"/>
      <c r="H483" s="160"/>
      <c r="I483" s="160"/>
      <c r="K483" s="160"/>
      <c r="L483" s="160"/>
    </row>
    <row r="484" spans="2:12" x14ac:dyDescent="0.25">
      <c r="B484" s="160"/>
      <c r="C484" s="160"/>
      <c r="E484" s="160"/>
      <c r="F484" s="160"/>
      <c r="H484" s="160"/>
      <c r="I484" s="160"/>
      <c r="K484" s="160"/>
      <c r="L484" s="160"/>
    </row>
    <row r="485" spans="2:12" x14ac:dyDescent="0.25">
      <c r="B485" s="160"/>
      <c r="C485" s="160"/>
      <c r="E485" s="160"/>
      <c r="F485" s="160"/>
      <c r="H485" s="160"/>
      <c r="I485" s="160"/>
      <c r="K485" s="160"/>
      <c r="L485" s="160"/>
    </row>
    <row r="486" spans="2:12" x14ac:dyDescent="0.25">
      <c r="B486" s="160"/>
      <c r="C486" s="160"/>
      <c r="E486" s="160"/>
      <c r="F486" s="160"/>
      <c r="H486" s="160"/>
      <c r="I486" s="160"/>
      <c r="K486" s="160"/>
      <c r="L486" s="160"/>
    </row>
    <row r="487" spans="2:12" x14ac:dyDescent="0.25">
      <c r="B487" s="160"/>
      <c r="C487" s="160"/>
      <c r="E487" s="160"/>
      <c r="F487" s="160"/>
      <c r="H487" s="160"/>
      <c r="I487" s="160"/>
      <c r="K487" s="160"/>
      <c r="L487" s="160"/>
    </row>
    <row r="488" spans="2:12" x14ac:dyDescent="0.25">
      <c r="B488" s="160"/>
      <c r="C488" s="160"/>
      <c r="E488" s="160"/>
      <c r="F488" s="160"/>
      <c r="H488" s="160"/>
      <c r="I488" s="160"/>
      <c r="K488" s="160"/>
      <c r="L488" s="160"/>
    </row>
    <row r="489" spans="2:12" x14ac:dyDescent="0.25">
      <c r="B489" s="160"/>
      <c r="C489" s="160"/>
      <c r="E489" s="160"/>
      <c r="F489" s="160"/>
      <c r="H489" s="160"/>
      <c r="I489" s="160"/>
      <c r="K489" s="160"/>
      <c r="L489" s="160"/>
    </row>
    <row r="490" spans="2:12" x14ac:dyDescent="0.25">
      <c r="B490" s="160"/>
      <c r="C490" s="160"/>
      <c r="E490" s="160"/>
      <c r="F490" s="160"/>
      <c r="H490" s="160"/>
      <c r="I490" s="160"/>
      <c r="K490" s="160"/>
      <c r="L490" s="160"/>
    </row>
    <row r="491" spans="2:12" x14ac:dyDescent="0.25">
      <c r="B491" s="160"/>
      <c r="C491" s="160"/>
      <c r="E491" s="160"/>
      <c r="F491" s="160"/>
      <c r="H491" s="160"/>
      <c r="I491" s="160"/>
      <c r="K491" s="160"/>
      <c r="L491" s="160"/>
    </row>
    <row r="492" spans="2:12" x14ac:dyDescent="0.25">
      <c r="B492" s="160"/>
      <c r="C492" s="160"/>
      <c r="E492" s="160"/>
      <c r="F492" s="160"/>
      <c r="H492" s="160"/>
      <c r="I492" s="160"/>
      <c r="K492" s="160"/>
      <c r="L492" s="160"/>
    </row>
    <row r="493" spans="2:12" x14ac:dyDescent="0.25">
      <c r="B493" s="160"/>
      <c r="C493" s="160"/>
      <c r="E493" s="160"/>
      <c r="F493" s="160"/>
      <c r="H493" s="160"/>
      <c r="I493" s="160"/>
      <c r="K493" s="160"/>
      <c r="L493" s="160"/>
    </row>
    <row r="494" spans="2:12" x14ac:dyDescent="0.25">
      <c r="B494" s="160"/>
      <c r="C494" s="160"/>
      <c r="E494" s="160"/>
      <c r="F494" s="160"/>
      <c r="H494" s="160"/>
      <c r="I494" s="160"/>
      <c r="K494" s="160"/>
      <c r="L494" s="160"/>
    </row>
    <row r="495" spans="2:12" x14ac:dyDescent="0.25">
      <c r="B495" s="160"/>
      <c r="C495" s="160"/>
      <c r="E495" s="160"/>
      <c r="F495" s="160"/>
      <c r="H495" s="160"/>
      <c r="I495" s="160"/>
      <c r="K495" s="160"/>
      <c r="L495" s="160"/>
    </row>
    <row r="496" spans="2:12" x14ac:dyDescent="0.25">
      <c r="B496" s="160"/>
      <c r="C496" s="160"/>
      <c r="E496" s="160"/>
      <c r="F496" s="160"/>
      <c r="H496" s="160"/>
      <c r="I496" s="160"/>
      <c r="K496" s="160"/>
      <c r="L496" s="160"/>
    </row>
    <row r="497" spans="2:12" x14ac:dyDescent="0.25">
      <c r="B497" s="160"/>
      <c r="C497" s="160"/>
      <c r="E497" s="160"/>
      <c r="F497" s="160"/>
      <c r="H497" s="160"/>
      <c r="I497" s="160"/>
      <c r="K497" s="160"/>
      <c r="L497" s="160"/>
    </row>
    <row r="498" spans="2:12" x14ac:dyDescent="0.25">
      <c r="B498" s="160"/>
      <c r="C498" s="160"/>
      <c r="E498" s="160"/>
      <c r="F498" s="160"/>
      <c r="H498" s="160"/>
      <c r="I498" s="160"/>
      <c r="K498" s="160"/>
      <c r="L498" s="160"/>
    </row>
    <row r="499" spans="2:12" x14ac:dyDescent="0.25">
      <c r="B499" s="160"/>
      <c r="C499" s="160"/>
      <c r="E499" s="160"/>
      <c r="F499" s="160"/>
      <c r="H499" s="160"/>
      <c r="I499" s="160"/>
      <c r="K499" s="160"/>
      <c r="L499" s="160"/>
    </row>
    <row r="500" spans="2:12" x14ac:dyDescent="0.25">
      <c r="B500" s="160"/>
      <c r="C500" s="160"/>
      <c r="E500" s="160"/>
      <c r="F500" s="160"/>
      <c r="H500" s="160"/>
      <c r="I500" s="160"/>
      <c r="K500" s="160"/>
      <c r="L500" s="160"/>
    </row>
    <row r="501" spans="2:12" x14ac:dyDescent="0.25">
      <c r="B501" s="160"/>
      <c r="C501" s="160"/>
      <c r="E501" s="160"/>
      <c r="F501" s="160"/>
      <c r="H501" s="160"/>
      <c r="I501" s="160"/>
      <c r="K501" s="160"/>
      <c r="L501" s="160"/>
    </row>
    <row r="502" spans="2:12" x14ac:dyDescent="0.25">
      <c r="B502" s="160"/>
      <c r="C502" s="160"/>
      <c r="E502" s="160"/>
      <c r="F502" s="160"/>
      <c r="H502" s="160"/>
      <c r="I502" s="160"/>
      <c r="K502" s="160"/>
      <c r="L502" s="160"/>
    </row>
    <row r="503" spans="2:12" x14ac:dyDescent="0.25">
      <c r="B503" s="160"/>
      <c r="C503" s="160"/>
      <c r="E503" s="160"/>
      <c r="F503" s="160"/>
      <c r="H503" s="160"/>
      <c r="I503" s="160"/>
      <c r="K503" s="160"/>
      <c r="L503" s="160"/>
    </row>
    <row r="504" spans="2:12" x14ac:dyDescent="0.25">
      <c r="B504" s="160"/>
      <c r="C504" s="160"/>
      <c r="E504" s="160"/>
      <c r="F504" s="160"/>
      <c r="H504" s="160"/>
      <c r="I504" s="160"/>
      <c r="K504" s="160"/>
      <c r="L504" s="160"/>
    </row>
    <row r="505" spans="2:12" x14ac:dyDescent="0.25">
      <c r="B505" s="160"/>
      <c r="C505" s="160"/>
      <c r="E505" s="160"/>
      <c r="F505" s="160"/>
      <c r="H505" s="160"/>
      <c r="I505" s="160"/>
      <c r="K505" s="160"/>
      <c r="L505" s="160"/>
    </row>
    <row r="506" spans="2:12" x14ac:dyDescent="0.25">
      <c r="B506" s="160"/>
      <c r="C506" s="160"/>
      <c r="E506" s="160"/>
      <c r="F506" s="160"/>
      <c r="H506" s="160"/>
      <c r="I506" s="160"/>
      <c r="K506" s="160"/>
      <c r="L506" s="160"/>
    </row>
    <row r="507" spans="2:12" x14ac:dyDescent="0.25">
      <c r="B507" s="160"/>
      <c r="C507" s="160"/>
      <c r="E507" s="160"/>
      <c r="F507" s="160"/>
      <c r="H507" s="160"/>
      <c r="I507" s="160"/>
      <c r="K507" s="160"/>
      <c r="L507" s="160"/>
    </row>
    <row r="508" spans="2:12" x14ac:dyDescent="0.25">
      <c r="B508" s="160"/>
      <c r="C508" s="160"/>
      <c r="E508" s="160"/>
      <c r="F508" s="160"/>
      <c r="H508" s="160"/>
      <c r="I508" s="160"/>
      <c r="K508" s="160"/>
      <c r="L508" s="160"/>
    </row>
    <row r="509" spans="2:12" x14ac:dyDescent="0.25">
      <c r="B509" s="160"/>
      <c r="C509" s="160"/>
      <c r="E509" s="160"/>
      <c r="F509" s="160"/>
      <c r="H509" s="160"/>
      <c r="I509" s="160"/>
      <c r="K509" s="160"/>
      <c r="L509" s="160"/>
    </row>
    <row r="510" spans="2:12" x14ac:dyDescent="0.25">
      <c r="B510" s="160"/>
      <c r="C510" s="160"/>
      <c r="E510" s="160"/>
      <c r="F510" s="160"/>
      <c r="H510" s="160"/>
      <c r="I510" s="160"/>
      <c r="K510" s="160"/>
      <c r="L510" s="160"/>
    </row>
    <row r="511" spans="2:12" x14ac:dyDescent="0.25">
      <c r="B511" s="160"/>
      <c r="C511" s="160"/>
      <c r="E511" s="160"/>
      <c r="F511" s="160"/>
      <c r="H511" s="160"/>
      <c r="I511" s="160"/>
      <c r="K511" s="160"/>
      <c r="L511" s="160"/>
    </row>
    <row r="512" spans="2:12" x14ac:dyDescent="0.25">
      <c r="B512" s="160"/>
      <c r="C512" s="160"/>
      <c r="E512" s="160"/>
      <c r="F512" s="160"/>
      <c r="H512" s="160"/>
      <c r="I512" s="160"/>
      <c r="K512" s="160"/>
      <c r="L512" s="160"/>
    </row>
    <row r="513" spans="2:12" x14ac:dyDescent="0.25">
      <c r="B513" s="160"/>
      <c r="C513" s="160"/>
      <c r="E513" s="160"/>
      <c r="F513" s="160"/>
      <c r="H513" s="160"/>
      <c r="I513" s="160"/>
      <c r="K513" s="160"/>
      <c r="L513" s="160"/>
    </row>
    <row r="514" spans="2:12" x14ac:dyDescent="0.25">
      <c r="B514" s="160"/>
      <c r="C514" s="160"/>
      <c r="E514" s="160"/>
      <c r="F514" s="160"/>
      <c r="H514" s="160"/>
      <c r="I514" s="160"/>
      <c r="K514" s="160"/>
      <c r="L514" s="160"/>
    </row>
    <row r="515" spans="2:12" x14ac:dyDescent="0.25">
      <c r="B515" s="160"/>
      <c r="C515" s="160"/>
      <c r="E515" s="160"/>
      <c r="F515" s="160"/>
      <c r="H515" s="160"/>
      <c r="I515" s="160"/>
      <c r="K515" s="160"/>
      <c r="L515" s="160"/>
    </row>
    <row r="516" spans="2:12" x14ac:dyDescent="0.25">
      <c r="B516" s="160"/>
      <c r="C516" s="160"/>
      <c r="E516" s="160"/>
      <c r="F516" s="160"/>
      <c r="H516" s="160"/>
      <c r="I516" s="160"/>
      <c r="K516" s="160"/>
      <c r="L516" s="160"/>
    </row>
    <row r="517" spans="2:12" x14ac:dyDescent="0.25">
      <c r="B517" s="160"/>
      <c r="C517" s="160"/>
      <c r="E517" s="160"/>
      <c r="F517" s="160"/>
      <c r="H517" s="160"/>
      <c r="I517" s="160"/>
      <c r="K517" s="160"/>
      <c r="L517" s="160"/>
    </row>
    <row r="518" spans="2:12" x14ac:dyDescent="0.25">
      <c r="B518" s="160"/>
      <c r="C518" s="160"/>
      <c r="E518" s="160"/>
      <c r="F518" s="160"/>
      <c r="H518" s="160"/>
      <c r="I518" s="160"/>
      <c r="K518" s="160"/>
      <c r="L518" s="160"/>
    </row>
    <row r="519" spans="2:12" x14ac:dyDescent="0.25">
      <c r="B519" s="160"/>
      <c r="C519" s="160"/>
      <c r="E519" s="160"/>
      <c r="F519" s="160"/>
      <c r="H519" s="160"/>
      <c r="I519" s="160"/>
      <c r="K519" s="160"/>
      <c r="L519" s="160"/>
    </row>
    <row r="520" spans="2:12" x14ac:dyDescent="0.25">
      <c r="B520" s="160"/>
      <c r="C520" s="160"/>
      <c r="E520" s="160"/>
      <c r="F520" s="160"/>
      <c r="H520" s="160"/>
      <c r="I520" s="160"/>
      <c r="K520" s="160"/>
      <c r="L520" s="160"/>
    </row>
    <row r="521" spans="2:12" x14ac:dyDescent="0.25">
      <c r="B521" s="160"/>
      <c r="C521" s="160"/>
      <c r="E521" s="160"/>
      <c r="F521" s="160"/>
      <c r="H521" s="160"/>
      <c r="I521" s="160"/>
      <c r="K521" s="160"/>
      <c r="L521" s="160"/>
    </row>
    <row r="522" spans="2:12" x14ac:dyDescent="0.25">
      <c r="B522" s="160"/>
      <c r="C522" s="160"/>
      <c r="E522" s="160"/>
      <c r="F522" s="160"/>
      <c r="H522" s="160"/>
      <c r="I522" s="160"/>
      <c r="K522" s="160"/>
      <c r="L522" s="160"/>
    </row>
    <row r="523" spans="2:12" x14ac:dyDescent="0.25">
      <c r="B523" s="160"/>
      <c r="C523" s="160"/>
      <c r="E523" s="160"/>
      <c r="F523" s="160"/>
      <c r="H523" s="160"/>
      <c r="I523" s="160"/>
      <c r="K523" s="160"/>
      <c r="L523" s="160"/>
    </row>
    <row r="524" spans="2:12" x14ac:dyDescent="0.25">
      <c r="B524" s="160"/>
      <c r="C524" s="160"/>
      <c r="E524" s="160"/>
      <c r="F524" s="160"/>
      <c r="H524" s="160"/>
      <c r="I524" s="160"/>
      <c r="K524" s="160"/>
      <c r="L524" s="160"/>
    </row>
    <row r="525" spans="2:12" x14ac:dyDescent="0.25">
      <c r="B525" s="160"/>
      <c r="C525" s="160"/>
      <c r="E525" s="160"/>
      <c r="F525" s="160"/>
      <c r="H525" s="160"/>
      <c r="I525" s="160"/>
      <c r="K525" s="160"/>
      <c r="L525" s="160"/>
    </row>
    <row r="526" spans="2:12" x14ac:dyDescent="0.25">
      <c r="B526" s="160"/>
      <c r="C526" s="160"/>
      <c r="E526" s="160"/>
      <c r="F526" s="160"/>
      <c r="H526" s="160"/>
      <c r="I526" s="160"/>
      <c r="K526" s="160"/>
      <c r="L526" s="160"/>
    </row>
    <row r="527" spans="2:12" x14ac:dyDescent="0.25">
      <c r="B527" s="160"/>
      <c r="C527" s="160"/>
      <c r="E527" s="160"/>
      <c r="F527" s="160"/>
      <c r="H527" s="160"/>
      <c r="I527" s="160"/>
      <c r="K527" s="160"/>
      <c r="L527" s="160"/>
    </row>
    <row r="528" spans="2:12" x14ac:dyDescent="0.25">
      <c r="B528" s="160"/>
      <c r="C528" s="160"/>
      <c r="E528" s="160"/>
      <c r="F528" s="160"/>
      <c r="H528" s="160"/>
      <c r="I528" s="160"/>
      <c r="K528" s="160"/>
      <c r="L528" s="160"/>
    </row>
    <row r="529" spans="2:12" x14ac:dyDescent="0.25">
      <c r="B529" s="160"/>
      <c r="C529" s="160"/>
      <c r="E529" s="160"/>
      <c r="F529" s="160"/>
      <c r="H529" s="160"/>
      <c r="I529" s="160"/>
      <c r="K529" s="160"/>
      <c r="L529" s="160"/>
    </row>
    <row r="530" spans="2:12" x14ac:dyDescent="0.25">
      <c r="B530" s="160"/>
      <c r="C530" s="160"/>
      <c r="E530" s="160"/>
      <c r="F530" s="160"/>
      <c r="H530" s="160"/>
      <c r="I530" s="160"/>
      <c r="K530" s="160"/>
      <c r="L530" s="160"/>
    </row>
    <row r="531" spans="2:12" x14ac:dyDescent="0.25">
      <c r="B531" s="160"/>
      <c r="C531" s="160"/>
      <c r="E531" s="160"/>
      <c r="F531" s="160"/>
      <c r="H531" s="160"/>
      <c r="I531" s="160"/>
      <c r="K531" s="160"/>
      <c r="L531" s="160"/>
    </row>
    <row r="532" spans="2:12" x14ac:dyDescent="0.25">
      <c r="B532" s="160"/>
      <c r="C532" s="160"/>
      <c r="E532" s="160"/>
      <c r="F532" s="160"/>
      <c r="H532" s="160"/>
      <c r="I532" s="160"/>
      <c r="K532" s="160"/>
      <c r="L532" s="160"/>
    </row>
    <row r="533" spans="2:12" x14ac:dyDescent="0.25">
      <c r="B533" s="160"/>
      <c r="C533" s="160"/>
      <c r="E533" s="160"/>
      <c r="F533" s="160"/>
      <c r="H533" s="160"/>
      <c r="I533" s="160"/>
      <c r="K533" s="160"/>
      <c r="L533" s="160"/>
    </row>
    <row r="534" spans="2:12" x14ac:dyDescent="0.25">
      <c r="B534" s="160"/>
      <c r="C534" s="160"/>
      <c r="E534" s="160"/>
      <c r="F534" s="160"/>
      <c r="H534" s="160"/>
      <c r="I534" s="160"/>
      <c r="K534" s="160"/>
      <c r="L534" s="160"/>
    </row>
    <row r="535" spans="2:12" x14ac:dyDescent="0.25">
      <c r="B535" s="160"/>
      <c r="C535" s="160"/>
      <c r="E535" s="160"/>
      <c r="F535" s="160"/>
      <c r="H535" s="160"/>
      <c r="I535" s="160"/>
      <c r="K535" s="160"/>
      <c r="L535" s="160"/>
    </row>
    <row r="536" spans="2:12" x14ac:dyDescent="0.25">
      <c r="B536" s="160"/>
      <c r="C536" s="160"/>
      <c r="E536" s="160"/>
      <c r="F536" s="160"/>
      <c r="H536" s="160"/>
      <c r="I536" s="160"/>
      <c r="K536" s="160"/>
      <c r="L536" s="160"/>
    </row>
    <row r="537" spans="2:12" x14ac:dyDescent="0.25">
      <c r="B537" s="160"/>
      <c r="C537" s="160"/>
      <c r="E537" s="160"/>
      <c r="F537" s="160"/>
      <c r="H537" s="160"/>
      <c r="I537" s="160"/>
      <c r="K537" s="160"/>
      <c r="L537" s="160"/>
    </row>
    <row r="538" spans="2:12" x14ac:dyDescent="0.25">
      <c r="B538" s="160"/>
      <c r="C538" s="160"/>
      <c r="E538" s="160"/>
      <c r="F538" s="160"/>
      <c r="H538" s="160"/>
      <c r="I538" s="160"/>
      <c r="K538" s="160"/>
      <c r="L538" s="160"/>
    </row>
    <row r="539" spans="2:12" x14ac:dyDescent="0.25">
      <c r="B539" s="160"/>
      <c r="C539" s="160"/>
      <c r="E539" s="160"/>
      <c r="F539" s="160"/>
      <c r="H539" s="160"/>
      <c r="I539" s="160"/>
      <c r="K539" s="160"/>
      <c r="L539" s="160"/>
    </row>
    <row r="540" spans="2:12" x14ac:dyDescent="0.25">
      <c r="B540" s="160"/>
      <c r="C540" s="160"/>
      <c r="E540" s="160"/>
      <c r="F540" s="160"/>
      <c r="H540" s="160"/>
      <c r="I540" s="160"/>
      <c r="K540" s="160"/>
      <c r="L540" s="160"/>
    </row>
    <row r="541" spans="2:12" x14ac:dyDescent="0.25">
      <c r="B541" s="160"/>
      <c r="C541" s="160"/>
      <c r="E541" s="160"/>
      <c r="F541" s="160"/>
      <c r="H541" s="160"/>
      <c r="I541" s="160"/>
      <c r="K541" s="160"/>
      <c r="L541" s="160"/>
    </row>
    <row r="542" spans="2:12" x14ac:dyDescent="0.25">
      <c r="B542" s="160"/>
      <c r="C542" s="160"/>
      <c r="E542" s="160"/>
      <c r="F542" s="160"/>
      <c r="H542" s="160"/>
      <c r="I542" s="160"/>
      <c r="K542" s="160"/>
      <c r="L542" s="160"/>
    </row>
    <row r="543" spans="2:12" x14ac:dyDescent="0.25">
      <c r="B543" s="160"/>
      <c r="C543" s="160"/>
      <c r="E543" s="160"/>
      <c r="F543" s="160"/>
      <c r="H543" s="160"/>
      <c r="I543" s="160"/>
      <c r="K543" s="160"/>
      <c r="L543" s="160"/>
    </row>
    <row r="544" spans="2:12" x14ac:dyDescent="0.25">
      <c r="B544" s="160"/>
      <c r="C544" s="160"/>
      <c r="E544" s="160"/>
      <c r="F544" s="160"/>
      <c r="H544" s="160"/>
      <c r="I544" s="160"/>
      <c r="K544" s="160"/>
      <c r="L544" s="160"/>
    </row>
    <row r="545" spans="2:12" x14ac:dyDescent="0.25">
      <c r="B545" s="160"/>
      <c r="C545" s="160"/>
      <c r="E545" s="160"/>
      <c r="F545" s="160"/>
      <c r="H545" s="160"/>
      <c r="I545" s="160"/>
      <c r="K545" s="160"/>
      <c r="L545" s="160"/>
    </row>
    <row r="546" spans="2:12" x14ac:dyDescent="0.25">
      <c r="B546" s="160"/>
      <c r="C546" s="160"/>
      <c r="E546" s="160"/>
      <c r="F546" s="160"/>
      <c r="H546" s="160"/>
      <c r="I546" s="160"/>
      <c r="K546" s="160"/>
      <c r="L546" s="160"/>
    </row>
    <row r="547" spans="2:12" x14ac:dyDescent="0.25">
      <c r="B547" s="160"/>
      <c r="C547" s="160"/>
      <c r="E547" s="160"/>
      <c r="F547" s="160"/>
      <c r="H547" s="160"/>
      <c r="I547" s="160"/>
      <c r="K547" s="160"/>
      <c r="L547" s="160"/>
    </row>
    <row r="548" spans="2:12" x14ac:dyDescent="0.25">
      <c r="B548" s="160"/>
      <c r="C548" s="160"/>
      <c r="E548" s="160"/>
      <c r="F548" s="160"/>
      <c r="H548" s="160"/>
      <c r="I548" s="160"/>
      <c r="K548" s="160"/>
      <c r="L548" s="160"/>
    </row>
    <row r="549" spans="2:12" x14ac:dyDescent="0.25">
      <c r="B549" s="160"/>
      <c r="C549" s="160"/>
      <c r="E549" s="160"/>
      <c r="F549" s="160"/>
      <c r="H549" s="160"/>
      <c r="I549" s="160"/>
      <c r="K549" s="160"/>
      <c r="L549" s="160"/>
    </row>
    <row r="550" spans="2:12" x14ac:dyDescent="0.25">
      <c r="B550" s="160"/>
      <c r="C550" s="160"/>
      <c r="E550" s="160"/>
      <c r="F550" s="160"/>
      <c r="H550" s="160"/>
      <c r="I550" s="160"/>
      <c r="K550" s="160"/>
      <c r="L550" s="160"/>
    </row>
    <row r="551" spans="2:12" x14ac:dyDescent="0.25">
      <c r="B551" s="160"/>
      <c r="C551" s="160"/>
      <c r="E551" s="160"/>
      <c r="F551" s="160"/>
      <c r="H551" s="160"/>
      <c r="I551" s="160"/>
      <c r="K551" s="160"/>
      <c r="L551" s="160"/>
    </row>
    <row r="552" spans="2:12" x14ac:dyDescent="0.25">
      <c r="B552" s="160"/>
      <c r="C552" s="160"/>
      <c r="E552" s="160"/>
      <c r="F552" s="160"/>
      <c r="H552" s="160"/>
      <c r="I552" s="160"/>
      <c r="K552" s="160"/>
      <c r="L552" s="160"/>
    </row>
    <row r="553" spans="2:12" x14ac:dyDescent="0.25">
      <c r="B553" s="160"/>
      <c r="C553" s="160"/>
      <c r="E553" s="160"/>
      <c r="F553" s="160"/>
      <c r="H553" s="160"/>
      <c r="I553" s="160"/>
      <c r="K553" s="160"/>
      <c r="L553" s="160"/>
    </row>
    <row r="554" spans="2:12" x14ac:dyDescent="0.25">
      <c r="B554" s="160"/>
      <c r="C554" s="160"/>
      <c r="E554" s="160"/>
      <c r="F554" s="160"/>
      <c r="H554" s="160"/>
      <c r="I554" s="160"/>
      <c r="K554" s="160"/>
      <c r="L554" s="160"/>
    </row>
    <row r="555" spans="2:12" x14ac:dyDescent="0.25">
      <c r="B555" s="160"/>
      <c r="C555" s="160"/>
      <c r="E555" s="160"/>
      <c r="F555" s="160"/>
      <c r="H555" s="160"/>
      <c r="I555" s="160"/>
      <c r="K555" s="160"/>
      <c r="L555" s="160"/>
    </row>
    <row r="556" spans="2:12" x14ac:dyDescent="0.25">
      <c r="B556" s="160"/>
      <c r="C556" s="160"/>
      <c r="E556" s="160"/>
      <c r="F556" s="160"/>
      <c r="H556" s="160"/>
      <c r="I556" s="160"/>
      <c r="K556" s="160"/>
      <c r="L556" s="160"/>
    </row>
    <row r="557" spans="2:12" x14ac:dyDescent="0.25">
      <c r="B557" s="160"/>
      <c r="C557" s="160"/>
      <c r="E557" s="160"/>
      <c r="F557" s="160"/>
      <c r="H557" s="160"/>
      <c r="I557" s="160"/>
      <c r="K557" s="160"/>
      <c r="L557" s="160"/>
    </row>
    <row r="558" spans="2:12" x14ac:dyDescent="0.25">
      <c r="B558" s="160"/>
      <c r="C558" s="160"/>
      <c r="E558" s="160"/>
      <c r="F558" s="160"/>
      <c r="H558" s="160"/>
      <c r="I558" s="160"/>
      <c r="K558" s="160"/>
      <c r="L558" s="160"/>
    </row>
    <row r="559" spans="2:12" x14ac:dyDescent="0.25">
      <c r="B559" s="160"/>
      <c r="C559" s="160"/>
      <c r="E559" s="160"/>
      <c r="F559" s="160"/>
      <c r="H559" s="160"/>
      <c r="I559" s="160"/>
      <c r="K559" s="160"/>
      <c r="L559" s="160"/>
    </row>
    <row r="560" spans="2:12" x14ac:dyDescent="0.25">
      <c r="B560" s="160"/>
      <c r="C560" s="160"/>
      <c r="E560" s="160"/>
      <c r="F560" s="160"/>
      <c r="H560" s="160"/>
      <c r="I560" s="160"/>
      <c r="K560" s="160"/>
      <c r="L560" s="160"/>
    </row>
    <row r="561" spans="2:12" x14ac:dyDescent="0.25">
      <c r="B561" s="160"/>
      <c r="C561" s="160"/>
      <c r="E561" s="160"/>
      <c r="F561" s="160"/>
      <c r="H561" s="160"/>
      <c r="I561" s="160"/>
      <c r="K561" s="160"/>
      <c r="L561" s="160"/>
    </row>
    <row r="562" spans="2:12" x14ac:dyDescent="0.25">
      <c r="B562" s="160"/>
      <c r="C562" s="160"/>
      <c r="E562" s="160"/>
      <c r="F562" s="160"/>
      <c r="H562" s="160"/>
      <c r="I562" s="160"/>
      <c r="K562" s="160"/>
      <c r="L562" s="160"/>
    </row>
    <row r="563" spans="2:12" x14ac:dyDescent="0.25">
      <c r="B563" s="160"/>
      <c r="C563" s="160"/>
      <c r="E563" s="160"/>
      <c r="F563" s="160"/>
      <c r="H563" s="160"/>
      <c r="I563" s="160"/>
      <c r="K563" s="160"/>
      <c r="L563" s="160"/>
    </row>
    <row r="564" spans="2:12" x14ac:dyDescent="0.25">
      <c r="B564" s="160"/>
      <c r="C564" s="160"/>
      <c r="E564" s="160"/>
      <c r="F564" s="160"/>
      <c r="H564" s="160"/>
      <c r="I564" s="160"/>
      <c r="K564" s="160"/>
      <c r="L564" s="160"/>
    </row>
    <row r="565" spans="2:12" x14ac:dyDescent="0.25">
      <c r="B565" s="160"/>
      <c r="C565" s="160"/>
      <c r="E565" s="160"/>
      <c r="F565" s="160"/>
      <c r="H565" s="160"/>
      <c r="I565" s="160"/>
      <c r="K565" s="160"/>
      <c r="L565" s="160"/>
    </row>
    <row r="566" spans="2:12" x14ac:dyDescent="0.25">
      <c r="B566" s="160"/>
      <c r="C566" s="160"/>
      <c r="E566" s="160"/>
      <c r="F566" s="160"/>
      <c r="H566" s="160"/>
      <c r="I566" s="160"/>
      <c r="K566" s="160"/>
      <c r="L566" s="160"/>
    </row>
    <row r="567" spans="2:12" x14ac:dyDescent="0.25">
      <c r="B567" s="160"/>
      <c r="C567" s="160"/>
      <c r="E567" s="160"/>
      <c r="F567" s="160"/>
      <c r="H567" s="160"/>
      <c r="I567" s="160"/>
      <c r="K567" s="160"/>
      <c r="L567" s="160"/>
    </row>
    <row r="568" spans="2:12" x14ac:dyDescent="0.25">
      <c r="B568" s="160"/>
      <c r="C568" s="160"/>
      <c r="E568" s="160"/>
      <c r="F568" s="160"/>
      <c r="H568" s="160"/>
      <c r="I568" s="160"/>
      <c r="K568" s="160"/>
      <c r="L568" s="160"/>
    </row>
    <row r="569" spans="2:12" x14ac:dyDescent="0.25">
      <c r="B569" s="160"/>
      <c r="C569" s="160"/>
      <c r="E569" s="160"/>
      <c r="F569" s="160"/>
      <c r="H569" s="160"/>
      <c r="I569" s="160"/>
      <c r="K569" s="160"/>
      <c r="L569" s="160"/>
    </row>
    <row r="570" spans="2:12" x14ac:dyDescent="0.25">
      <c r="B570" s="160"/>
      <c r="C570" s="160"/>
      <c r="E570" s="160"/>
      <c r="F570" s="160"/>
      <c r="H570" s="160"/>
      <c r="I570" s="160"/>
      <c r="K570" s="160"/>
      <c r="L570" s="160"/>
    </row>
    <row r="571" spans="2:12" x14ac:dyDescent="0.25">
      <c r="B571" s="160"/>
      <c r="C571" s="160"/>
      <c r="E571" s="160"/>
      <c r="F571" s="160"/>
      <c r="H571" s="160"/>
      <c r="I571" s="160"/>
      <c r="K571" s="160"/>
      <c r="L571" s="160"/>
    </row>
    <row r="572" spans="2:12" x14ac:dyDescent="0.25">
      <c r="B572" s="160"/>
      <c r="C572" s="160"/>
      <c r="E572" s="160"/>
      <c r="F572" s="160"/>
      <c r="H572" s="160"/>
      <c r="I572" s="160"/>
      <c r="K572" s="160"/>
      <c r="L572" s="160"/>
    </row>
    <row r="573" spans="2:12" x14ac:dyDescent="0.25">
      <c r="B573" s="160"/>
      <c r="C573" s="160"/>
      <c r="E573" s="160"/>
      <c r="F573" s="160"/>
      <c r="H573" s="160"/>
      <c r="I573" s="160"/>
      <c r="K573" s="160"/>
      <c r="L573" s="160"/>
    </row>
    <row r="574" spans="2:12" x14ac:dyDescent="0.25">
      <c r="B574" s="160"/>
      <c r="C574" s="160"/>
      <c r="E574" s="160"/>
      <c r="F574" s="160"/>
      <c r="H574" s="160"/>
      <c r="I574" s="160"/>
      <c r="K574" s="160"/>
      <c r="L574" s="160"/>
    </row>
    <row r="575" spans="2:12" x14ac:dyDescent="0.25">
      <c r="B575" s="160"/>
      <c r="C575" s="160"/>
      <c r="E575" s="160"/>
      <c r="F575" s="160"/>
      <c r="H575" s="160"/>
      <c r="I575" s="160"/>
      <c r="K575" s="160"/>
      <c r="L575" s="160"/>
    </row>
    <row r="576" spans="2:12" x14ac:dyDescent="0.25">
      <c r="B576" s="160"/>
      <c r="C576" s="160"/>
      <c r="E576" s="160"/>
      <c r="F576" s="160"/>
      <c r="H576" s="160"/>
      <c r="I576" s="160"/>
      <c r="K576" s="160"/>
      <c r="L576" s="160"/>
    </row>
    <row r="577" spans="2:12" x14ac:dyDescent="0.25">
      <c r="B577" s="160"/>
      <c r="C577" s="160"/>
      <c r="E577" s="160"/>
      <c r="F577" s="160"/>
      <c r="H577" s="160"/>
      <c r="I577" s="160"/>
      <c r="K577" s="160"/>
      <c r="L577" s="160"/>
    </row>
    <row r="578" spans="2:12" x14ac:dyDescent="0.25">
      <c r="B578" s="160"/>
      <c r="C578" s="160"/>
      <c r="E578" s="160"/>
      <c r="F578" s="160"/>
      <c r="H578" s="160"/>
      <c r="I578" s="160"/>
      <c r="K578" s="160"/>
      <c r="L578" s="160"/>
    </row>
    <row r="579" spans="2:12" x14ac:dyDescent="0.25">
      <c r="B579" s="160"/>
      <c r="C579" s="160"/>
      <c r="E579" s="160"/>
      <c r="F579" s="160"/>
      <c r="H579" s="160"/>
      <c r="I579" s="160"/>
      <c r="K579" s="160"/>
      <c r="L579" s="160"/>
    </row>
    <row r="580" spans="2:12" x14ac:dyDescent="0.25">
      <c r="B580" s="160"/>
      <c r="C580" s="160"/>
      <c r="E580" s="160"/>
      <c r="F580" s="160"/>
      <c r="H580" s="160"/>
      <c r="I580" s="160"/>
      <c r="K580" s="160"/>
      <c r="L580" s="160"/>
    </row>
    <row r="581" spans="2:12" x14ac:dyDescent="0.25">
      <c r="B581" s="160"/>
      <c r="C581" s="160"/>
      <c r="E581" s="160"/>
      <c r="F581" s="160"/>
      <c r="H581" s="160"/>
      <c r="I581" s="160"/>
      <c r="K581" s="160"/>
      <c r="L581" s="160"/>
    </row>
    <row r="582" spans="2:12" x14ac:dyDescent="0.25">
      <c r="B582" s="160"/>
      <c r="C582" s="160"/>
      <c r="E582" s="160"/>
      <c r="F582" s="160"/>
      <c r="H582" s="160"/>
      <c r="I582" s="160"/>
      <c r="K582" s="160"/>
      <c r="L582" s="160"/>
    </row>
    <row r="583" spans="2:12" x14ac:dyDescent="0.25">
      <c r="B583" s="160"/>
      <c r="C583" s="160"/>
      <c r="E583" s="160"/>
      <c r="F583" s="160"/>
      <c r="H583" s="160"/>
      <c r="I583" s="160"/>
      <c r="K583" s="160"/>
      <c r="L583" s="160"/>
    </row>
    <row r="584" spans="2:12" x14ac:dyDescent="0.25">
      <c r="B584" s="160"/>
      <c r="C584" s="160"/>
      <c r="E584" s="160"/>
      <c r="F584" s="160"/>
      <c r="H584" s="160"/>
      <c r="I584" s="160"/>
      <c r="K584" s="160"/>
      <c r="L584" s="160"/>
    </row>
    <row r="585" spans="2:12" x14ac:dyDescent="0.25">
      <c r="B585" s="160"/>
      <c r="C585" s="160"/>
      <c r="E585" s="160"/>
      <c r="F585" s="160"/>
      <c r="H585" s="160"/>
      <c r="I585" s="160"/>
      <c r="K585" s="160"/>
      <c r="L585" s="160"/>
    </row>
    <row r="586" spans="2:12" x14ac:dyDescent="0.25">
      <c r="B586" s="160"/>
      <c r="C586" s="160"/>
      <c r="E586" s="160"/>
      <c r="F586" s="160"/>
      <c r="H586" s="160"/>
      <c r="I586" s="160"/>
      <c r="K586" s="160"/>
      <c r="L586" s="160"/>
    </row>
    <row r="587" spans="2:12" x14ac:dyDescent="0.25">
      <c r="B587" s="160"/>
      <c r="C587" s="160"/>
      <c r="E587" s="160"/>
      <c r="F587" s="160"/>
      <c r="H587" s="160"/>
      <c r="I587" s="160"/>
      <c r="K587" s="160"/>
      <c r="L587" s="160"/>
    </row>
    <row r="588" spans="2:12" x14ac:dyDescent="0.25">
      <c r="B588" s="160"/>
      <c r="C588" s="160"/>
      <c r="E588" s="160"/>
      <c r="F588" s="160"/>
      <c r="H588" s="160"/>
      <c r="I588" s="160"/>
      <c r="K588" s="160"/>
      <c r="L588" s="160"/>
    </row>
    <row r="589" spans="2:12" x14ac:dyDescent="0.25">
      <c r="B589" s="160"/>
      <c r="C589" s="160"/>
      <c r="E589" s="160"/>
      <c r="F589" s="160"/>
      <c r="H589" s="160"/>
      <c r="I589" s="160"/>
      <c r="K589" s="160"/>
      <c r="L589" s="160"/>
    </row>
    <row r="590" spans="2:12" x14ac:dyDescent="0.25">
      <c r="B590" s="160"/>
      <c r="C590" s="160"/>
      <c r="E590" s="160"/>
      <c r="F590" s="160"/>
      <c r="H590" s="160"/>
      <c r="I590" s="160"/>
      <c r="K590" s="160"/>
      <c r="L590" s="160"/>
    </row>
    <row r="591" spans="2:12" x14ac:dyDescent="0.25">
      <c r="B591" s="160"/>
      <c r="C591" s="160"/>
      <c r="E591" s="160"/>
      <c r="F591" s="160"/>
      <c r="H591" s="160"/>
      <c r="I591" s="160"/>
      <c r="K591" s="160"/>
      <c r="L591" s="160"/>
    </row>
    <row r="592" spans="2:12" x14ac:dyDescent="0.25">
      <c r="B592" s="160"/>
      <c r="C592" s="160"/>
      <c r="E592" s="160"/>
      <c r="F592" s="160"/>
      <c r="H592" s="160"/>
      <c r="I592" s="160"/>
      <c r="K592" s="160"/>
      <c r="L592" s="160"/>
    </row>
    <row r="593" spans="2:12" x14ac:dyDescent="0.25">
      <c r="B593" s="160"/>
      <c r="C593" s="160"/>
      <c r="E593" s="160"/>
      <c r="F593" s="160"/>
      <c r="H593" s="160"/>
      <c r="I593" s="160"/>
      <c r="K593" s="160"/>
      <c r="L593" s="160"/>
    </row>
    <row r="594" spans="2:12" x14ac:dyDescent="0.25">
      <c r="B594" s="160"/>
      <c r="C594" s="160"/>
      <c r="E594" s="160"/>
      <c r="F594" s="160"/>
      <c r="H594" s="160"/>
      <c r="I594" s="160"/>
      <c r="K594" s="160"/>
      <c r="L594" s="160"/>
    </row>
    <row r="595" spans="2:12" x14ac:dyDescent="0.25">
      <c r="B595" s="160"/>
      <c r="C595" s="160"/>
      <c r="E595" s="160"/>
      <c r="F595" s="160"/>
      <c r="H595" s="160"/>
      <c r="I595" s="160"/>
      <c r="K595" s="160"/>
      <c r="L595" s="160"/>
    </row>
    <row r="596" spans="2:12" x14ac:dyDescent="0.25">
      <c r="B596" s="160"/>
      <c r="C596" s="160"/>
      <c r="E596" s="160"/>
      <c r="F596" s="160"/>
      <c r="H596" s="160"/>
      <c r="I596" s="160"/>
      <c r="K596" s="160"/>
      <c r="L596" s="160"/>
    </row>
    <row r="597" spans="2:12" x14ac:dyDescent="0.25">
      <c r="B597" s="160"/>
      <c r="C597" s="160"/>
      <c r="E597" s="160"/>
      <c r="F597" s="160"/>
      <c r="H597" s="160"/>
      <c r="I597" s="160"/>
      <c r="K597" s="160"/>
      <c r="L597" s="160"/>
    </row>
    <row r="598" spans="2:12" x14ac:dyDescent="0.25">
      <c r="B598" s="160"/>
      <c r="C598" s="160"/>
      <c r="E598" s="160"/>
      <c r="F598" s="160"/>
      <c r="H598" s="160"/>
      <c r="I598" s="160"/>
      <c r="K598" s="160"/>
      <c r="L598" s="160"/>
    </row>
    <row r="599" spans="2:12" x14ac:dyDescent="0.25">
      <c r="B599" s="160"/>
      <c r="C599" s="160"/>
      <c r="E599" s="160"/>
      <c r="F599" s="160"/>
      <c r="H599" s="160"/>
      <c r="I599" s="160"/>
      <c r="K599" s="160"/>
      <c r="L599" s="160"/>
    </row>
    <row r="600" spans="2:12" x14ac:dyDescent="0.25">
      <c r="B600" s="160"/>
      <c r="C600" s="160"/>
      <c r="E600" s="160"/>
      <c r="F600" s="160"/>
      <c r="H600" s="160"/>
      <c r="I600" s="160"/>
      <c r="K600" s="160"/>
      <c r="L600" s="160"/>
    </row>
    <row r="601" spans="2:12" x14ac:dyDescent="0.25">
      <c r="B601" s="160"/>
      <c r="C601" s="160"/>
      <c r="E601" s="160"/>
      <c r="F601" s="160"/>
      <c r="H601" s="160"/>
      <c r="I601" s="160"/>
      <c r="K601" s="160"/>
      <c r="L601" s="160"/>
    </row>
    <row r="602" spans="2:12" x14ac:dyDescent="0.25">
      <c r="B602" s="160"/>
      <c r="C602" s="160"/>
      <c r="E602" s="160"/>
      <c r="F602" s="160"/>
      <c r="H602" s="160"/>
      <c r="I602" s="160"/>
      <c r="K602" s="160"/>
      <c r="L602" s="160"/>
    </row>
    <row r="603" spans="2:12" x14ac:dyDescent="0.25">
      <c r="B603" s="160"/>
      <c r="C603" s="160"/>
      <c r="E603" s="160"/>
      <c r="F603" s="160"/>
      <c r="H603" s="160"/>
      <c r="I603" s="160"/>
      <c r="K603" s="160"/>
      <c r="L603" s="160"/>
    </row>
    <row r="604" spans="2:12" x14ac:dyDescent="0.25">
      <c r="B604" s="160"/>
      <c r="C604" s="160"/>
      <c r="E604" s="160"/>
      <c r="F604" s="160"/>
      <c r="H604" s="160"/>
      <c r="I604" s="160"/>
      <c r="K604" s="160"/>
      <c r="L604" s="160"/>
    </row>
    <row r="605" spans="2:12" x14ac:dyDescent="0.25">
      <c r="B605" s="160"/>
      <c r="C605" s="160"/>
      <c r="E605" s="160"/>
      <c r="F605" s="160"/>
      <c r="H605" s="160"/>
      <c r="I605" s="160"/>
      <c r="K605" s="160"/>
      <c r="L605" s="160"/>
    </row>
    <row r="606" spans="2:12" x14ac:dyDescent="0.25">
      <c r="B606" s="160"/>
      <c r="C606" s="160"/>
      <c r="E606" s="160"/>
      <c r="F606" s="160"/>
      <c r="H606" s="160"/>
      <c r="I606" s="160"/>
      <c r="K606" s="160"/>
      <c r="L606" s="160"/>
    </row>
    <row r="607" spans="2:12" x14ac:dyDescent="0.25">
      <c r="B607" s="160"/>
      <c r="C607" s="160"/>
      <c r="E607" s="160"/>
      <c r="F607" s="160"/>
      <c r="H607" s="160"/>
      <c r="I607" s="160"/>
      <c r="K607" s="160"/>
      <c r="L607" s="160"/>
    </row>
    <row r="608" spans="2:12" x14ac:dyDescent="0.25">
      <c r="B608" s="160"/>
      <c r="C608" s="160"/>
      <c r="E608" s="160"/>
      <c r="F608" s="160"/>
      <c r="H608" s="160"/>
      <c r="I608" s="160"/>
      <c r="K608" s="160"/>
      <c r="L608" s="160"/>
    </row>
    <row r="609" spans="2:12" x14ac:dyDescent="0.25">
      <c r="B609" s="160"/>
      <c r="C609" s="160"/>
      <c r="E609" s="160"/>
      <c r="F609" s="160"/>
      <c r="H609" s="160"/>
      <c r="I609" s="160"/>
      <c r="K609" s="160"/>
      <c r="L609" s="160"/>
    </row>
    <row r="610" spans="2:12" x14ac:dyDescent="0.25">
      <c r="B610" s="160"/>
      <c r="C610" s="160"/>
      <c r="E610" s="160"/>
      <c r="F610" s="160"/>
      <c r="H610" s="160"/>
      <c r="I610" s="160"/>
      <c r="K610" s="160"/>
      <c r="L610" s="160"/>
    </row>
    <row r="611" spans="2:12" x14ac:dyDescent="0.25">
      <c r="B611" s="160"/>
      <c r="C611" s="160"/>
      <c r="E611" s="160"/>
      <c r="F611" s="160"/>
      <c r="H611" s="160"/>
      <c r="I611" s="160"/>
      <c r="K611" s="160"/>
      <c r="L611" s="160"/>
    </row>
    <row r="612" spans="2:12" x14ac:dyDescent="0.25">
      <c r="B612" s="160"/>
      <c r="C612" s="160"/>
      <c r="E612" s="160"/>
      <c r="F612" s="160"/>
      <c r="H612" s="160"/>
      <c r="I612" s="160"/>
      <c r="K612" s="160"/>
      <c r="L612" s="160"/>
    </row>
    <row r="613" spans="2:12" x14ac:dyDescent="0.25">
      <c r="B613" s="160"/>
      <c r="C613" s="160"/>
      <c r="E613" s="160"/>
      <c r="F613" s="160"/>
      <c r="H613" s="160"/>
      <c r="I613" s="160"/>
      <c r="K613" s="160"/>
      <c r="L613" s="160"/>
    </row>
    <row r="614" spans="2:12" x14ac:dyDescent="0.25">
      <c r="B614" s="160"/>
      <c r="C614" s="160"/>
      <c r="E614" s="160"/>
      <c r="F614" s="160"/>
      <c r="H614" s="160"/>
      <c r="I614" s="160"/>
      <c r="K614" s="160"/>
      <c r="L614" s="160"/>
    </row>
    <row r="615" spans="2:12" x14ac:dyDescent="0.25">
      <c r="B615" s="160"/>
      <c r="C615" s="160"/>
      <c r="E615" s="160"/>
      <c r="F615" s="160"/>
      <c r="H615" s="160"/>
      <c r="I615" s="160"/>
      <c r="K615" s="160"/>
      <c r="L615" s="160"/>
    </row>
    <row r="616" spans="2:12" x14ac:dyDescent="0.25">
      <c r="B616" s="160"/>
      <c r="C616" s="160"/>
      <c r="E616" s="160"/>
      <c r="F616" s="160"/>
      <c r="H616" s="160"/>
      <c r="I616" s="160"/>
      <c r="K616" s="160"/>
      <c r="L616" s="160"/>
    </row>
    <row r="617" spans="2:12" x14ac:dyDescent="0.25">
      <c r="B617" s="160"/>
      <c r="C617" s="160"/>
      <c r="E617" s="160"/>
      <c r="F617" s="160"/>
      <c r="H617" s="160"/>
      <c r="I617" s="160"/>
      <c r="K617" s="160"/>
      <c r="L617" s="160"/>
    </row>
    <row r="618" spans="2:12" x14ac:dyDescent="0.25">
      <c r="B618" s="160"/>
      <c r="C618" s="160"/>
      <c r="E618" s="160"/>
      <c r="F618" s="160"/>
      <c r="H618" s="160"/>
      <c r="I618" s="160"/>
      <c r="K618" s="160"/>
      <c r="L618" s="160"/>
    </row>
    <row r="619" spans="2:12" x14ac:dyDescent="0.25">
      <c r="B619" s="160"/>
      <c r="C619" s="160"/>
      <c r="E619" s="160"/>
      <c r="F619" s="160"/>
      <c r="H619" s="160"/>
      <c r="I619" s="160"/>
      <c r="K619" s="160"/>
      <c r="L619" s="160"/>
    </row>
    <row r="620" spans="2:12" x14ac:dyDescent="0.25">
      <c r="B620" s="160"/>
      <c r="C620" s="160"/>
      <c r="E620" s="160"/>
      <c r="F620" s="160"/>
      <c r="H620" s="160"/>
      <c r="I620" s="160"/>
      <c r="K620" s="160"/>
      <c r="L620" s="160"/>
    </row>
    <row r="621" spans="2:12" x14ac:dyDescent="0.25">
      <c r="B621" s="160"/>
      <c r="C621" s="160"/>
      <c r="E621" s="160"/>
      <c r="F621" s="160"/>
      <c r="H621" s="160"/>
      <c r="I621" s="160"/>
      <c r="K621" s="160"/>
      <c r="L621" s="160"/>
    </row>
    <row r="622" spans="2:12" x14ac:dyDescent="0.25">
      <c r="B622" s="160"/>
      <c r="C622" s="160"/>
      <c r="E622" s="160"/>
      <c r="F622" s="160"/>
      <c r="H622" s="160"/>
      <c r="I622" s="160"/>
      <c r="K622" s="160"/>
      <c r="L622" s="160"/>
    </row>
    <row r="623" spans="2:12" x14ac:dyDescent="0.25">
      <c r="B623" s="160"/>
      <c r="C623" s="160"/>
      <c r="E623" s="160"/>
      <c r="F623" s="160"/>
      <c r="H623" s="160"/>
      <c r="I623" s="160"/>
      <c r="K623" s="160"/>
      <c r="L623" s="160"/>
    </row>
    <row r="624" spans="2:12" x14ac:dyDescent="0.25">
      <c r="B624" s="160"/>
      <c r="C624" s="160"/>
      <c r="E624" s="160"/>
      <c r="F624" s="160"/>
      <c r="H624" s="160"/>
      <c r="I624" s="160"/>
      <c r="K624" s="160"/>
      <c r="L624" s="160"/>
    </row>
    <row r="625" spans="2:12" x14ac:dyDescent="0.25">
      <c r="B625" s="160"/>
      <c r="C625" s="160"/>
      <c r="E625" s="160"/>
      <c r="F625" s="160"/>
      <c r="H625" s="160"/>
      <c r="I625" s="160"/>
      <c r="K625" s="160"/>
      <c r="L625" s="160"/>
    </row>
    <row r="626" spans="2:12" x14ac:dyDescent="0.25">
      <c r="B626" s="160"/>
      <c r="C626" s="160"/>
      <c r="E626" s="160"/>
      <c r="F626" s="160"/>
      <c r="H626" s="160"/>
      <c r="I626" s="160"/>
      <c r="K626" s="160"/>
      <c r="L626" s="160"/>
    </row>
    <row r="627" spans="2:12" x14ac:dyDescent="0.25">
      <c r="B627" s="160"/>
      <c r="C627" s="160"/>
      <c r="E627" s="160"/>
      <c r="F627" s="160"/>
      <c r="H627" s="160"/>
      <c r="I627" s="160"/>
      <c r="K627" s="160"/>
      <c r="L627" s="160"/>
    </row>
    <row r="628" spans="2:12" x14ac:dyDescent="0.25">
      <c r="B628" s="160"/>
      <c r="C628" s="160"/>
      <c r="E628" s="160"/>
      <c r="F628" s="160"/>
      <c r="H628" s="160"/>
      <c r="I628" s="160"/>
      <c r="K628" s="160"/>
      <c r="L628" s="160"/>
    </row>
    <row r="629" spans="2:12" x14ac:dyDescent="0.25">
      <c r="B629" s="160"/>
      <c r="C629" s="160"/>
      <c r="E629" s="160"/>
      <c r="F629" s="160"/>
      <c r="H629" s="160"/>
      <c r="I629" s="160"/>
      <c r="K629" s="160"/>
      <c r="L629" s="160"/>
    </row>
    <row r="630" spans="2:12" x14ac:dyDescent="0.25">
      <c r="B630" s="160"/>
      <c r="C630" s="160"/>
      <c r="E630" s="160"/>
      <c r="F630" s="160"/>
      <c r="H630" s="160"/>
      <c r="I630" s="160"/>
      <c r="K630" s="160"/>
      <c r="L630" s="160"/>
    </row>
    <row r="631" spans="2:12" x14ac:dyDescent="0.25">
      <c r="B631" s="160"/>
      <c r="C631" s="160"/>
      <c r="E631" s="160"/>
      <c r="F631" s="160"/>
      <c r="H631" s="160"/>
      <c r="I631" s="160"/>
      <c r="K631" s="160"/>
      <c r="L631" s="160"/>
    </row>
    <row r="632" spans="2:12" x14ac:dyDescent="0.25">
      <c r="B632" s="160"/>
      <c r="C632" s="160"/>
      <c r="E632" s="160"/>
      <c r="F632" s="160"/>
      <c r="H632" s="160"/>
      <c r="I632" s="160"/>
      <c r="K632" s="160"/>
      <c r="L632" s="160"/>
    </row>
    <row r="633" spans="2:12" x14ac:dyDescent="0.25">
      <c r="B633" s="160"/>
      <c r="C633" s="160"/>
      <c r="E633" s="160"/>
      <c r="F633" s="160"/>
      <c r="H633" s="160"/>
      <c r="I633" s="160"/>
      <c r="K633" s="160"/>
      <c r="L633" s="160"/>
    </row>
    <row r="634" spans="2:12" x14ac:dyDescent="0.25">
      <c r="B634" s="160"/>
      <c r="C634" s="160"/>
      <c r="E634" s="160"/>
      <c r="F634" s="160"/>
      <c r="H634" s="160"/>
      <c r="I634" s="160"/>
      <c r="K634" s="160"/>
      <c r="L634" s="160"/>
    </row>
    <row r="635" spans="2:12" x14ac:dyDescent="0.25">
      <c r="B635" s="160"/>
      <c r="C635" s="160"/>
      <c r="E635" s="160"/>
      <c r="F635" s="160"/>
      <c r="H635" s="160"/>
      <c r="I635" s="160"/>
      <c r="K635" s="160"/>
      <c r="L635" s="160"/>
    </row>
    <row r="636" spans="2:12" x14ac:dyDescent="0.25">
      <c r="B636" s="160"/>
      <c r="C636" s="160"/>
      <c r="E636" s="160"/>
      <c r="F636" s="160"/>
      <c r="H636" s="160"/>
      <c r="I636" s="160"/>
      <c r="K636" s="160"/>
      <c r="L636" s="160"/>
    </row>
    <row r="637" spans="2:12" x14ac:dyDescent="0.25">
      <c r="B637" s="160"/>
      <c r="C637" s="160"/>
      <c r="E637" s="160"/>
      <c r="F637" s="160"/>
      <c r="H637" s="160"/>
      <c r="I637" s="160"/>
      <c r="K637" s="160"/>
      <c r="L637" s="160"/>
    </row>
    <row r="638" spans="2:12" x14ac:dyDescent="0.25">
      <c r="B638" s="160"/>
      <c r="C638" s="160"/>
      <c r="E638" s="160"/>
      <c r="F638" s="160"/>
      <c r="H638" s="160"/>
      <c r="I638" s="160"/>
      <c r="K638" s="160"/>
      <c r="L638" s="160"/>
    </row>
    <row r="639" spans="2:12" x14ac:dyDescent="0.25">
      <c r="B639" s="160"/>
      <c r="C639" s="160"/>
      <c r="E639" s="160"/>
      <c r="F639" s="160"/>
      <c r="H639" s="160"/>
      <c r="I639" s="160"/>
      <c r="K639" s="160"/>
      <c r="L639" s="160"/>
    </row>
    <row r="640" spans="2:12" x14ac:dyDescent="0.25">
      <c r="B640" s="160"/>
      <c r="C640" s="160"/>
      <c r="E640" s="160"/>
      <c r="F640" s="160"/>
      <c r="H640" s="160"/>
      <c r="I640" s="160"/>
      <c r="K640" s="160"/>
      <c r="L640" s="160"/>
    </row>
    <row r="641" spans="2:12" x14ac:dyDescent="0.25">
      <c r="B641" s="160"/>
      <c r="C641" s="160"/>
      <c r="E641" s="160"/>
      <c r="F641" s="160"/>
      <c r="H641" s="160"/>
      <c r="I641" s="160"/>
      <c r="K641" s="160"/>
      <c r="L641" s="160"/>
    </row>
    <row r="642" spans="2:12" x14ac:dyDescent="0.25">
      <c r="B642" s="160"/>
      <c r="C642" s="160"/>
      <c r="E642" s="160"/>
      <c r="F642" s="160"/>
      <c r="H642" s="160"/>
      <c r="I642" s="160"/>
      <c r="K642" s="160"/>
      <c r="L642" s="160"/>
    </row>
    <row r="643" spans="2:12" x14ac:dyDescent="0.25">
      <c r="B643" s="160"/>
      <c r="C643" s="160"/>
      <c r="E643" s="160"/>
      <c r="F643" s="160"/>
      <c r="H643" s="160"/>
      <c r="I643" s="160"/>
      <c r="K643" s="160"/>
      <c r="L643" s="160"/>
    </row>
    <row r="644" spans="2:12" x14ac:dyDescent="0.25">
      <c r="B644" s="160"/>
      <c r="C644" s="160"/>
      <c r="E644" s="160"/>
      <c r="F644" s="160"/>
      <c r="H644" s="160"/>
      <c r="I644" s="160"/>
      <c r="K644" s="160"/>
      <c r="L644" s="160"/>
    </row>
    <row r="645" spans="2:12" x14ac:dyDescent="0.25">
      <c r="B645" s="160"/>
      <c r="C645" s="160"/>
      <c r="E645" s="160"/>
      <c r="F645" s="160"/>
      <c r="H645" s="160"/>
      <c r="I645" s="160"/>
      <c r="K645" s="160"/>
      <c r="L645" s="160"/>
    </row>
    <row r="646" spans="2:12" x14ac:dyDescent="0.25">
      <c r="B646" s="160"/>
      <c r="C646" s="160"/>
      <c r="E646" s="160"/>
      <c r="F646" s="160"/>
      <c r="H646" s="160"/>
      <c r="I646" s="160"/>
      <c r="K646" s="160"/>
      <c r="L646" s="160"/>
    </row>
    <row r="647" spans="2:12" x14ac:dyDescent="0.25">
      <c r="B647" s="160"/>
      <c r="C647" s="160"/>
      <c r="E647" s="160"/>
      <c r="F647" s="160"/>
      <c r="H647" s="160"/>
      <c r="I647" s="160"/>
      <c r="K647" s="160"/>
      <c r="L647" s="160"/>
    </row>
    <row r="648" spans="2:12" x14ac:dyDescent="0.25">
      <c r="B648" s="160"/>
      <c r="C648" s="160"/>
      <c r="E648" s="160"/>
      <c r="F648" s="160"/>
      <c r="H648" s="160"/>
      <c r="I648" s="160"/>
      <c r="K648" s="160"/>
      <c r="L648" s="160"/>
    </row>
    <row r="649" spans="2:12" x14ac:dyDescent="0.25">
      <c r="B649" s="160"/>
      <c r="C649" s="160"/>
      <c r="E649" s="160"/>
      <c r="F649" s="160"/>
      <c r="H649" s="160"/>
      <c r="I649" s="160"/>
      <c r="K649" s="160"/>
      <c r="L649" s="160"/>
    </row>
    <row r="650" spans="2:12" x14ac:dyDescent="0.25">
      <c r="B650" s="160"/>
      <c r="C650" s="160"/>
      <c r="E650" s="160"/>
      <c r="F650" s="160"/>
      <c r="H650" s="160"/>
      <c r="I650" s="160"/>
      <c r="K650" s="160"/>
      <c r="L650" s="160"/>
    </row>
    <row r="651" spans="2:12" x14ac:dyDescent="0.25">
      <c r="B651" s="160"/>
      <c r="C651" s="160"/>
      <c r="E651" s="160"/>
      <c r="F651" s="160"/>
      <c r="H651" s="160"/>
      <c r="I651" s="160"/>
      <c r="K651" s="160"/>
      <c r="L651" s="160"/>
    </row>
    <row r="652" spans="2:12" x14ac:dyDescent="0.25">
      <c r="B652" s="160"/>
      <c r="C652" s="160"/>
      <c r="E652" s="160"/>
      <c r="F652" s="160"/>
      <c r="H652" s="160"/>
      <c r="I652" s="160"/>
      <c r="K652" s="160"/>
      <c r="L652" s="160"/>
    </row>
    <row r="653" spans="2:12" x14ac:dyDescent="0.25">
      <c r="B653" s="160"/>
      <c r="C653" s="160"/>
      <c r="E653" s="160"/>
      <c r="F653" s="160"/>
      <c r="H653" s="160"/>
      <c r="I653" s="160"/>
      <c r="K653" s="160"/>
      <c r="L653" s="160"/>
    </row>
    <row r="654" spans="2:12" x14ac:dyDescent="0.25">
      <c r="B654" s="160"/>
      <c r="C654" s="160"/>
      <c r="E654" s="160"/>
      <c r="F654" s="160"/>
      <c r="H654" s="160"/>
      <c r="I654" s="160"/>
      <c r="K654" s="160"/>
      <c r="L654" s="160"/>
    </row>
    <row r="655" spans="2:12" x14ac:dyDescent="0.25">
      <c r="B655" s="160"/>
      <c r="C655" s="160"/>
      <c r="E655" s="160"/>
      <c r="F655" s="160"/>
      <c r="H655" s="160"/>
      <c r="I655" s="160"/>
      <c r="K655" s="160"/>
      <c r="L655" s="160"/>
    </row>
    <row r="656" spans="2:12" x14ac:dyDescent="0.25">
      <c r="B656" s="160"/>
      <c r="C656" s="160"/>
      <c r="E656" s="160"/>
      <c r="F656" s="160"/>
      <c r="H656" s="160"/>
      <c r="I656" s="160"/>
      <c r="K656" s="160"/>
      <c r="L656" s="160"/>
    </row>
    <row r="657" spans="2:12" x14ac:dyDescent="0.25">
      <c r="B657" s="160"/>
      <c r="C657" s="160"/>
      <c r="E657" s="160"/>
      <c r="F657" s="160"/>
      <c r="H657" s="160"/>
      <c r="I657" s="160"/>
      <c r="K657" s="160"/>
      <c r="L657" s="160"/>
    </row>
    <row r="658" spans="2:12" x14ac:dyDescent="0.25">
      <c r="B658" s="160"/>
      <c r="C658" s="160"/>
      <c r="E658" s="160"/>
      <c r="F658" s="160"/>
      <c r="H658" s="160"/>
      <c r="I658" s="160"/>
      <c r="K658" s="160"/>
      <c r="L658" s="160"/>
    </row>
    <row r="659" spans="2:12" x14ac:dyDescent="0.25">
      <c r="B659" s="160"/>
      <c r="C659" s="160"/>
      <c r="E659" s="160"/>
      <c r="F659" s="160"/>
      <c r="H659" s="160"/>
      <c r="I659" s="160"/>
      <c r="K659" s="160"/>
      <c r="L659" s="160"/>
    </row>
    <row r="660" spans="2:12" x14ac:dyDescent="0.25">
      <c r="B660" s="160"/>
      <c r="C660" s="160"/>
      <c r="E660" s="160"/>
      <c r="F660" s="160"/>
      <c r="H660" s="160"/>
      <c r="I660" s="160"/>
      <c r="K660" s="160"/>
      <c r="L660" s="160"/>
    </row>
    <row r="661" spans="2:12" x14ac:dyDescent="0.25">
      <c r="B661" s="160"/>
      <c r="C661" s="160"/>
      <c r="E661" s="160"/>
      <c r="F661" s="160"/>
      <c r="H661" s="160"/>
      <c r="I661" s="160"/>
      <c r="K661" s="160"/>
      <c r="L661" s="160"/>
    </row>
    <row r="662" spans="2:12" x14ac:dyDescent="0.25">
      <c r="B662" s="160"/>
      <c r="C662" s="160"/>
      <c r="E662" s="160"/>
      <c r="F662" s="160"/>
      <c r="H662" s="160"/>
      <c r="I662" s="160"/>
      <c r="K662" s="160"/>
      <c r="L662" s="160"/>
    </row>
    <row r="663" spans="2:12" x14ac:dyDescent="0.25">
      <c r="B663" s="160"/>
      <c r="C663" s="160"/>
      <c r="E663" s="160"/>
      <c r="F663" s="160"/>
      <c r="H663" s="160"/>
      <c r="I663" s="160"/>
      <c r="K663" s="160"/>
      <c r="L663" s="160"/>
    </row>
    <row r="664" spans="2:12" x14ac:dyDescent="0.25">
      <c r="B664" s="160"/>
      <c r="C664" s="160"/>
      <c r="E664" s="160"/>
      <c r="F664" s="160"/>
      <c r="H664" s="160"/>
      <c r="I664" s="160"/>
      <c r="K664" s="160"/>
      <c r="L664" s="160"/>
    </row>
    <row r="665" spans="2:12" x14ac:dyDescent="0.25">
      <c r="B665" s="160"/>
      <c r="C665" s="160"/>
      <c r="E665" s="160"/>
      <c r="F665" s="160"/>
      <c r="H665" s="160"/>
      <c r="I665" s="160"/>
      <c r="K665" s="160"/>
      <c r="L665" s="160"/>
    </row>
    <row r="666" spans="2:12" x14ac:dyDescent="0.25">
      <c r="B666" s="160"/>
      <c r="C666" s="160"/>
      <c r="E666" s="160"/>
      <c r="F666" s="160"/>
      <c r="H666" s="160"/>
      <c r="I666" s="160"/>
      <c r="K666" s="160"/>
      <c r="L666" s="160"/>
    </row>
    <row r="667" spans="2:12" x14ac:dyDescent="0.25">
      <c r="B667" s="160"/>
      <c r="C667" s="160"/>
      <c r="E667" s="160"/>
      <c r="F667" s="160"/>
      <c r="H667" s="160"/>
      <c r="I667" s="160"/>
      <c r="K667" s="160"/>
      <c r="L667" s="160"/>
    </row>
    <row r="668" spans="2:12" x14ac:dyDescent="0.25">
      <c r="B668" s="160"/>
      <c r="C668" s="160"/>
      <c r="E668" s="160"/>
      <c r="F668" s="160"/>
      <c r="H668" s="160"/>
      <c r="I668" s="160"/>
      <c r="K668" s="160"/>
      <c r="L668" s="160"/>
    </row>
    <row r="669" spans="2:12" x14ac:dyDescent="0.25">
      <c r="B669" s="160"/>
      <c r="C669" s="160"/>
      <c r="E669" s="160"/>
      <c r="F669" s="160"/>
      <c r="H669" s="160"/>
      <c r="I669" s="160"/>
      <c r="K669" s="160"/>
      <c r="L669" s="160"/>
    </row>
    <row r="670" spans="2:12" x14ac:dyDescent="0.25">
      <c r="B670" s="160"/>
      <c r="C670" s="160"/>
      <c r="E670" s="160"/>
      <c r="F670" s="160"/>
      <c r="H670" s="160"/>
      <c r="I670" s="160"/>
      <c r="K670" s="160"/>
      <c r="L670" s="160"/>
    </row>
    <row r="671" spans="2:12" x14ac:dyDescent="0.25">
      <c r="B671" s="160"/>
      <c r="C671" s="160"/>
      <c r="E671" s="160"/>
      <c r="F671" s="160"/>
      <c r="H671" s="160"/>
      <c r="I671" s="160"/>
      <c r="K671" s="160"/>
      <c r="L671" s="160"/>
    </row>
    <row r="672" spans="2:12" x14ac:dyDescent="0.25">
      <c r="B672" s="160"/>
      <c r="C672" s="160"/>
      <c r="E672" s="160"/>
      <c r="F672" s="160"/>
      <c r="H672" s="160"/>
      <c r="I672" s="160"/>
      <c r="K672" s="160"/>
      <c r="L672" s="160"/>
    </row>
    <row r="673" spans="2:12" x14ac:dyDescent="0.25">
      <c r="B673" s="160"/>
      <c r="C673" s="160"/>
      <c r="E673" s="160"/>
      <c r="F673" s="160"/>
      <c r="H673" s="160"/>
      <c r="I673" s="160"/>
      <c r="K673" s="160"/>
      <c r="L673" s="160"/>
    </row>
    <row r="674" spans="2:12" x14ac:dyDescent="0.25">
      <c r="B674" s="160"/>
      <c r="C674" s="160"/>
      <c r="E674" s="160"/>
      <c r="F674" s="160"/>
      <c r="H674" s="160"/>
      <c r="I674" s="160"/>
      <c r="K674" s="160"/>
      <c r="L674" s="160"/>
    </row>
    <row r="675" spans="2:12" x14ac:dyDescent="0.25">
      <c r="B675" s="160"/>
      <c r="C675" s="160"/>
      <c r="E675" s="160"/>
      <c r="F675" s="160"/>
      <c r="H675" s="160"/>
      <c r="I675" s="160"/>
      <c r="K675" s="160"/>
      <c r="L675" s="160"/>
    </row>
    <row r="676" spans="2:12" x14ac:dyDescent="0.25">
      <c r="B676" s="160"/>
      <c r="C676" s="160"/>
      <c r="E676" s="160"/>
      <c r="F676" s="160"/>
      <c r="H676" s="160"/>
      <c r="I676" s="160"/>
      <c r="K676" s="160"/>
      <c r="L676" s="160"/>
    </row>
    <row r="677" spans="2:12" x14ac:dyDescent="0.25">
      <c r="B677" s="160"/>
      <c r="C677" s="160"/>
      <c r="E677" s="160"/>
      <c r="F677" s="160"/>
      <c r="H677" s="160"/>
      <c r="I677" s="160"/>
      <c r="K677" s="160"/>
      <c r="L677" s="160"/>
    </row>
    <row r="678" spans="2:12" x14ac:dyDescent="0.25">
      <c r="B678" s="160"/>
      <c r="C678" s="160"/>
      <c r="E678" s="160"/>
      <c r="F678" s="160"/>
      <c r="H678" s="160"/>
      <c r="I678" s="160"/>
      <c r="K678" s="160"/>
      <c r="L678" s="160"/>
    </row>
    <row r="679" spans="2:12" x14ac:dyDescent="0.25">
      <c r="B679" s="160"/>
      <c r="C679" s="160"/>
      <c r="E679" s="160"/>
      <c r="F679" s="160"/>
      <c r="H679" s="160"/>
      <c r="I679" s="160"/>
      <c r="K679" s="160"/>
      <c r="L679" s="160"/>
    </row>
    <row r="680" spans="2:12" x14ac:dyDescent="0.25">
      <c r="B680" s="160"/>
      <c r="C680" s="160"/>
      <c r="E680" s="160"/>
      <c r="F680" s="160"/>
      <c r="H680" s="160"/>
      <c r="I680" s="160"/>
      <c r="K680" s="160"/>
      <c r="L680" s="160"/>
    </row>
    <row r="681" spans="2:12" x14ac:dyDescent="0.25">
      <c r="B681" s="160"/>
      <c r="C681" s="160"/>
      <c r="E681" s="160"/>
      <c r="F681" s="160"/>
      <c r="H681" s="160"/>
      <c r="I681" s="160"/>
      <c r="K681" s="160"/>
      <c r="L681" s="160"/>
    </row>
    <row r="682" spans="2:12" x14ac:dyDescent="0.25">
      <c r="B682" s="160"/>
      <c r="C682" s="160"/>
      <c r="E682" s="160"/>
      <c r="F682" s="160"/>
      <c r="H682" s="160"/>
      <c r="I682" s="160"/>
      <c r="K682" s="160"/>
      <c r="L682" s="160"/>
    </row>
    <row r="683" spans="2:12" x14ac:dyDescent="0.25">
      <c r="B683" s="160"/>
      <c r="C683" s="160"/>
      <c r="E683" s="160"/>
      <c r="F683" s="160"/>
      <c r="H683" s="160"/>
      <c r="I683" s="160"/>
      <c r="K683" s="160"/>
      <c r="L683" s="160"/>
    </row>
    <row r="684" spans="2:12" x14ac:dyDescent="0.25">
      <c r="B684" s="160"/>
      <c r="C684" s="160"/>
      <c r="E684" s="160"/>
      <c r="F684" s="160"/>
      <c r="H684" s="160"/>
      <c r="I684" s="160"/>
      <c r="K684" s="160"/>
      <c r="L684" s="160"/>
    </row>
    <row r="685" spans="2:12" x14ac:dyDescent="0.25">
      <c r="B685" s="160"/>
      <c r="C685" s="160"/>
      <c r="E685" s="160"/>
      <c r="F685" s="160"/>
      <c r="H685" s="160"/>
      <c r="I685" s="160"/>
      <c r="K685" s="160"/>
      <c r="L685" s="160"/>
    </row>
    <row r="686" spans="2:12" x14ac:dyDescent="0.25">
      <c r="B686" s="160"/>
      <c r="C686" s="160"/>
      <c r="E686" s="160"/>
      <c r="F686" s="160"/>
      <c r="H686" s="160"/>
      <c r="I686" s="160"/>
      <c r="K686" s="160"/>
      <c r="L686" s="160"/>
    </row>
    <row r="687" spans="2:12" x14ac:dyDescent="0.25">
      <c r="B687" s="160"/>
      <c r="C687" s="160"/>
      <c r="E687" s="160"/>
      <c r="F687" s="160"/>
      <c r="H687" s="160"/>
      <c r="I687" s="160"/>
      <c r="K687" s="160"/>
      <c r="L687" s="160"/>
    </row>
    <row r="688" spans="2:12" x14ac:dyDescent="0.25">
      <c r="B688" s="160"/>
      <c r="C688" s="160"/>
      <c r="E688" s="160"/>
      <c r="F688" s="160"/>
      <c r="H688" s="160"/>
      <c r="I688" s="160"/>
      <c r="K688" s="160"/>
      <c r="L688" s="160"/>
    </row>
    <row r="689" spans="2:12" x14ac:dyDescent="0.25">
      <c r="B689" s="160"/>
      <c r="C689" s="160"/>
      <c r="E689" s="160"/>
      <c r="F689" s="160"/>
      <c r="H689" s="160"/>
      <c r="I689" s="160"/>
      <c r="K689" s="160"/>
      <c r="L689" s="160"/>
    </row>
    <row r="690" spans="2:12" x14ac:dyDescent="0.25">
      <c r="B690" s="160"/>
      <c r="C690" s="160"/>
      <c r="E690" s="160"/>
      <c r="F690" s="160"/>
      <c r="H690" s="160"/>
      <c r="I690" s="160"/>
      <c r="K690" s="160"/>
      <c r="L690" s="160"/>
    </row>
    <row r="691" spans="2:12" x14ac:dyDescent="0.25">
      <c r="B691" s="160"/>
      <c r="C691" s="160"/>
      <c r="E691" s="160"/>
      <c r="F691" s="160"/>
      <c r="H691" s="160"/>
      <c r="I691" s="160"/>
      <c r="K691" s="160"/>
      <c r="L691" s="160"/>
    </row>
    <row r="692" spans="2:12" x14ac:dyDescent="0.25">
      <c r="B692" s="160"/>
      <c r="C692" s="160"/>
      <c r="E692" s="160"/>
      <c r="F692" s="160"/>
      <c r="H692" s="160"/>
      <c r="I692" s="160"/>
      <c r="K692" s="160"/>
      <c r="L692" s="160"/>
    </row>
    <row r="693" spans="2:12" x14ac:dyDescent="0.25">
      <c r="B693" s="160"/>
      <c r="C693" s="160"/>
      <c r="E693" s="160"/>
      <c r="F693" s="160"/>
      <c r="H693" s="160"/>
      <c r="I693" s="160"/>
      <c r="K693" s="160"/>
      <c r="L693" s="160"/>
    </row>
    <row r="694" spans="2:12" x14ac:dyDescent="0.25">
      <c r="B694" s="160"/>
      <c r="C694" s="160"/>
      <c r="E694" s="160"/>
      <c r="F694" s="160"/>
      <c r="H694" s="160"/>
      <c r="I694" s="160"/>
      <c r="K694" s="160"/>
      <c r="L694" s="160"/>
    </row>
    <row r="695" spans="2:12" x14ac:dyDescent="0.25">
      <c r="B695" s="160"/>
      <c r="C695" s="160"/>
      <c r="E695" s="160"/>
      <c r="F695" s="160"/>
      <c r="H695" s="160"/>
      <c r="I695" s="160"/>
      <c r="K695" s="160"/>
      <c r="L695" s="160"/>
    </row>
    <row r="696" spans="2:12" x14ac:dyDescent="0.25">
      <c r="B696" s="160"/>
      <c r="C696" s="160"/>
      <c r="E696" s="160"/>
      <c r="F696" s="160"/>
      <c r="H696" s="160"/>
      <c r="I696" s="160"/>
      <c r="K696" s="160"/>
      <c r="L696" s="160"/>
    </row>
    <row r="697" spans="2:12" x14ac:dyDescent="0.25">
      <c r="B697" s="160"/>
      <c r="C697" s="160"/>
      <c r="E697" s="160"/>
      <c r="F697" s="160"/>
      <c r="H697" s="160"/>
      <c r="I697" s="160"/>
      <c r="K697" s="160"/>
      <c r="L697" s="160"/>
    </row>
    <row r="698" spans="2:12" x14ac:dyDescent="0.25">
      <c r="B698" s="160"/>
      <c r="C698" s="160"/>
      <c r="E698" s="160"/>
      <c r="F698" s="160"/>
      <c r="H698" s="160"/>
      <c r="I698" s="160"/>
      <c r="K698" s="160"/>
      <c r="L698" s="160"/>
    </row>
    <row r="699" spans="2:12" x14ac:dyDescent="0.25">
      <c r="B699" s="160"/>
      <c r="C699" s="160"/>
      <c r="E699" s="160"/>
      <c r="F699" s="160"/>
      <c r="H699" s="160"/>
      <c r="I699" s="160"/>
      <c r="K699" s="160"/>
      <c r="L699" s="160"/>
    </row>
    <row r="700" spans="2:12" x14ac:dyDescent="0.25">
      <c r="B700" s="160"/>
      <c r="C700" s="160"/>
      <c r="E700" s="160"/>
      <c r="F700" s="160"/>
      <c r="H700" s="160"/>
      <c r="I700" s="160"/>
      <c r="K700" s="160"/>
      <c r="L700" s="160"/>
    </row>
    <row r="701" spans="2:12" x14ac:dyDescent="0.25">
      <c r="B701" s="160"/>
      <c r="C701" s="160"/>
      <c r="E701" s="160"/>
      <c r="F701" s="160"/>
      <c r="H701" s="160"/>
      <c r="I701" s="160"/>
      <c r="K701" s="160"/>
      <c r="L701" s="160"/>
    </row>
    <row r="702" spans="2:12" x14ac:dyDescent="0.25">
      <c r="B702" s="160"/>
      <c r="C702" s="160"/>
      <c r="E702" s="160"/>
      <c r="F702" s="160"/>
      <c r="H702" s="160"/>
      <c r="I702" s="160"/>
      <c r="K702" s="160"/>
      <c r="L702" s="160"/>
    </row>
    <row r="703" spans="2:12" x14ac:dyDescent="0.25">
      <c r="B703" s="160"/>
      <c r="C703" s="160"/>
      <c r="E703" s="160"/>
      <c r="F703" s="160"/>
      <c r="H703" s="160"/>
      <c r="I703" s="160"/>
      <c r="K703" s="160"/>
      <c r="L703" s="160"/>
    </row>
    <row r="704" spans="2:12" x14ac:dyDescent="0.25">
      <c r="B704" s="160"/>
      <c r="C704" s="160"/>
      <c r="E704" s="160"/>
      <c r="F704" s="160"/>
      <c r="H704" s="160"/>
      <c r="I704" s="160"/>
      <c r="K704" s="160"/>
      <c r="L704" s="160"/>
    </row>
    <row r="705" spans="2:12" x14ac:dyDescent="0.25">
      <c r="B705" s="160"/>
      <c r="C705" s="160"/>
      <c r="E705" s="160"/>
      <c r="F705" s="160"/>
      <c r="H705" s="160"/>
      <c r="I705" s="160"/>
      <c r="K705" s="160"/>
      <c r="L705" s="160"/>
    </row>
    <row r="706" spans="2:12" x14ac:dyDescent="0.25">
      <c r="B706" s="160"/>
      <c r="C706" s="160"/>
      <c r="E706" s="160"/>
      <c r="F706" s="160"/>
      <c r="H706" s="160"/>
      <c r="I706" s="160"/>
      <c r="K706" s="160"/>
      <c r="L706" s="160"/>
    </row>
    <row r="707" spans="2:12" x14ac:dyDescent="0.25">
      <c r="B707" s="160"/>
      <c r="C707" s="160"/>
      <c r="E707" s="160"/>
      <c r="F707" s="160"/>
      <c r="H707" s="160"/>
      <c r="I707" s="160"/>
      <c r="K707" s="160"/>
      <c r="L707" s="160"/>
    </row>
    <row r="708" spans="2:12" x14ac:dyDescent="0.25">
      <c r="B708" s="160"/>
      <c r="C708" s="160"/>
      <c r="E708" s="160"/>
      <c r="F708" s="160"/>
      <c r="H708" s="160"/>
      <c r="I708" s="160"/>
      <c r="K708" s="160"/>
      <c r="L708" s="160"/>
    </row>
    <row r="709" spans="2:12" x14ac:dyDescent="0.25">
      <c r="B709" s="160"/>
      <c r="C709" s="160"/>
      <c r="E709" s="160"/>
      <c r="F709" s="160"/>
      <c r="H709" s="160"/>
      <c r="I709" s="160"/>
      <c r="K709" s="160"/>
      <c r="L709" s="160"/>
    </row>
    <row r="710" spans="2:12" x14ac:dyDescent="0.25">
      <c r="B710" s="160"/>
      <c r="C710" s="160"/>
      <c r="E710" s="160"/>
      <c r="F710" s="160"/>
      <c r="H710" s="160"/>
      <c r="I710" s="160"/>
      <c r="K710" s="160"/>
      <c r="L710" s="160"/>
    </row>
    <row r="711" spans="2:12" x14ac:dyDescent="0.25">
      <c r="B711" s="160"/>
      <c r="C711" s="160"/>
      <c r="E711" s="160"/>
      <c r="F711" s="160"/>
      <c r="H711" s="160"/>
      <c r="I711" s="160"/>
      <c r="K711" s="160"/>
      <c r="L711" s="160"/>
    </row>
    <row r="712" spans="2:12" x14ac:dyDescent="0.25">
      <c r="B712" s="160"/>
      <c r="C712" s="160"/>
      <c r="E712" s="160"/>
      <c r="F712" s="160"/>
      <c r="H712" s="160"/>
      <c r="I712" s="160"/>
      <c r="K712" s="160"/>
      <c r="L712" s="160"/>
    </row>
    <row r="713" spans="2:12" x14ac:dyDescent="0.25">
      <c r="B713" s="160"/>
      <c r="C713" s="160"/>
      <c r="E713" s="160"/>
      <c r="F713" s="160"/>
      <c r="H713" s="160"/>
      <c r="I713" s="160"/>
      <c r="K713" s="160"/>
      <c r="L713" s="160"/>
    </row>
    <row r="714" spans="2:12" x14ac:dyDescent="0.25">
      <c r="B714" s="160"/>
      <c r="C714" s="160"/>
      <c r="E714" s="160"/>
      <c r="F714" s="160"/>
      <c r="H714" s="160"/>
      <c r="I714" s="160"/>
      <c r="K714" s="160"/>
      <c r="L714" s="160"/>
    </row>
    <row r="715" spans="2:12" x14ac:dyDescent="0.25">
      <c r="B715" s="160"/>
      <c r="C715" s="160"/>
      <c r="E715" s="160"/>
      <c r="F715" s="160"/>
      <c r="H715" s="160"/>
      <c r="I715" s="160"/>
      <c r="K715" s="160"/>
      <c r="L715" s="160"/>
    </row>
    <row r="716" spans="2:12" x14ac:dyDescent="0.25">
      <c r="B716" s="160"/>
      <c r="C716" s="160"/>
      <c r="E716" s="160"/>
      <c r="F716" s="160"/>
      <c r="H716" s="160"/>
      <c r="I716" s="160"/>
      <c r="K716" s="160"/>
      <c r="L716" s="160"/>
    </row>
    <row r="717" spans="2:12" x14ac:dyDescent="0.25">
      <c r="B717" s="160"/>
      <c r="C717" s="160"/>
      <c r="E717" s="160"/>
      <c r="F717" s="160"/>
      <c r="H717" s="160"/>
      <c r="I717" s="160"/>
      <c r="K717" s="160"/>
      <c r="L717" s="160"/>
    </row>
    <row r="718" spans="2:12" x14ac:dyDescent="0.25">
      <c r="B718" s="160"/>
      <c r="C718" s="160"/>
      <c r="E718" s="160"/>
      <c r="F718" s="160"/>
      <c r="H718" s="160"/>
      <c r="I718" s="160"/>
      <c r="K718" s="160"/>
      <c r="L718" s="160"/>
    </row>
    <row r="719" spans="2:12" x14ac:dyDescent="0.25">
      <c r="B719" s="160"/>
      <c r="C719" s="160"/>
      <c r="E719" s="160"/>
      <c r="F719" s="160"/>
      <c r="H719" s="160"/>
      <c r="I719" s="160"/>
      <c r="K719" s="160"/>
      <c r="L719" s="160"/>
    </row>
    <row r="720" spans="2:12" x14ac:dyDescent="0.25">
      <c r="B720" s="160"/>
      <c r="C720" s="160"/>
      <c r="E720" s="160"/>
      <c r="F720" s="160"/>
      <c r="H720" s="160"/>
      <c r="I720" s="160"/>
      <c r="K720" s="160"/>
      <c r="L720" s="160"/>
    </row>
    <row r="721" spans="2:12" x14ac:dyDescent="0.25">
      <c r="B721" s="160"/>
      <c r="C721" s="160"/>
      <c r="E721" s="160"/>
      <c r="F721" s="160"/>
      <c r="H721" s="160"/>
      <c r="I721" s="160"/>
      <c r="K721" s="160"/>
      <c r="L721" s="160"/>
    </row>
    <row r="722" spans="2:12" x14ac:dyDescent="0.25">
      <c r="B722" s="160"/>
      <c r="C722" s="160"/>
      <c r="E722" s="160"/>
      <c r="F722" s="160"/>
      <c r="H722" s="160"/>
      <c r="I722" s="160"/>
      <c r="K722" s="160"/>
      <c r="L722" s="160"/>
    </row>
    <row r="723" spans="2:12" x14ac:dyDescent="0.25">
      <c r="B723" s="160"/>
      <c r="C723" s="160"/>
      <c r="E723" s="160"/>
      <c r="F723" s="160"/>
      <c r="H723" s="160"/>
      <c r="I723" s="160"/>
      <c r="K723" s="160"/>
      <c r="L723" s="160"/>
    </row>
    <row r="724" spans="2:12" x14ac:dyDescent="0.25">
      <c r="B724" s="160"/>
      <c r="C724" s="160"/>
      <c r="E724" s="160"/>
      <c r="F724" s="160"/>
      <c r="H724" s="160"/>
      <c r="I724" s="160"/>
      <c r="K724" s="160"/>
      <c r="L724" s="160"/>
    </row>
    <row r="725" spans="2:12" x14ac:dyDescent="0.25">
      <c r="B725" s="160"/>
      <c r="C725" s="160"/>
      <c r="E725" s="160"/>
      <c r="F725" s="160"/>
      <c r="H725" s="160"/>
      <c r="I725" s="160"/>
      <c r="K725" s="160"/>
      <c r="L725" s="160"/>
    </row>
    <row r="726" spans="2:12" x14ac:dyDescent="0.25">
      <c r="B726" s="160"/>
      <c r="C726" s="160"/>
      <c r="E726" s="160"/>
      <c r="F726" s="160"/>
      <c r="H726" s="160"/>
      <c r="I726" s="160"/>
      <c r="K726" s="160"/>
      <c r="L726" s="160"/>
    </row>
    <row r="727" spans="2:12" x14ac:dyDescent="0.25">
      <c r="B727" s="160"/>
      <c r="C727" s="160"/>
      <c r="E727" s="160"/>
      <c r="F727" s="160"/>
      <c r="H727" s="160"/>
      <c r="I727" s="160"/>
      <c r="K727" s="160"/>
      <c r="L727" s="160"/>
    </row>
    <row r="728" spans="2:12" x14ac:dyDescent="0.25">
      <c r="B728" s="160"/>
      <c r="C728" s="160"/>
      <c r="E728" s="160"/>
      <c r="F728" s="160"/>
      <c r="H728" s="160"/>
      <c r="I728" s="160"/>
      <c r="K728" s="160"/>
      <c r="L728" s="160"/>
    </row>
    <row r="729" spans="2:12" x14ac:dyDescent="0.25">
      <c r="B729" s="160"/>
      <c r="C729" s="160"/>
      <c r="E729" s="160"/>
      <c r="F729" s="160"/>
      <c r="H729" s="160"/>
      <c r="I729" s="160"/>
      <c r="K729" s="160"/>
      <c r="L729" s="160"/>
    </row>
    <row r="730" spans="2:12" x14ac:dyDescent="0.25">
      <c r="B730" s="160"/>
      <c r="C730" s="160"/>
      <c r="E730" s="160"/>
      <c r="F730" s="160"/>
      <c r="H730" s="160"/>
      <c r="I730" s="160"/>
      <c r="K730" s="160"/>
      <c r="L730" s="160"/>
    </row>
    <row r="731" spans="2:12" x14ac:dyDescent="0.25">
      <c r="B731" s="160"/>
      <c r="C731" s="160"/>
      <c r="E731" s="160"/>
      <c r="F731" s="160"/>
      <c r="H731" s="160"/>
      <c r="I731" s="160"/>
      <c r="K731" s="160"/>
      <c r="L731" s="160"/>
    </row>
    <row r="732" spans="2:12" x14ac:dyDescent="0.25">
      <c r="B732" s="160"/>
      <c r="C732" s="160"/>
      <c r="E732" s="160"/>
      <c r="F732" s="160"/>
      <c r="H732" s="160"/>
      <c r="I732" s="160"/>
      <c r="K732" s="160"/>
      <c r="L732" s="160"/>
    </row>
    <row r="733" spans="2:12" x14ac:dyDescent="0.25">
      <c r="B733" s="160"/>
      <c r="C733" s="160"/>
      <c r="E733" s="160"/>
      <c r="F733" s="160"/>
      <c r="H733" s="160"/>
      <c r="I733" s="160"/>
      <c r="K733" s="160"/>
      <c r="L733" s="160"/>
    </row>
    <row r="734" spans="2:12" x14ac:dyDescent="0.25">
      <c r="B734" s="160"/>
      <c r="C734" s="160"/>
      <c r="E734" s="160"/>
      <c r="F734" s="160"/>
      <c r="H734" s="160"/>
      <c r="I734" s="160"/>
      <c r="K734" s="160"/>
      <c r="L734" s="160"/>
    </row>
    <row r="735" spans="2:12" x14ac:dyDescent="0.25">
      <c r="B735" s="160"/>
      <c r="C735" s="160"/>
      <c r="E735" s="160"/>
      <c r="F735" s="160"/>
      <c r="H735" s="160"/>
      <c r="I735" s="160"/>
      <c r="K735" s="160"/>
      <c r="L735" s="160"/>
    </row>
    <row r="736" spans="2:12" x14ac:dyDescent="0.25">
      <c r="B736" s="160"/>
      <c r="C736" s="160"/>
      <c r="E736" s="160"/>
      <c r="F736" s="160"/>
      <c r="H736" s="160"/>
      <c r="I736" s="160"/>
      <c r="K736" s="160"/>
      <c r="L736" s="160"/>
    </row>
    <row r="737" spans="2:12" x14ac:dyDescent="0.25">
      <c r="B737" s="160"/>
      <c r="C737" s="160"/>
      <c r="E737" s="160"/>
      <c r="F737" s="160"/>
      <c r="H737" s="160"/>
      <c r="I737" s="160"/>
      <c r="K737" s="160"/>
      <c r="L737" s="160"/>
    </row>
    <row r="738" spans="2:12" x14ac:dyDescent="0.25">
      <c r="B738" s="160"/>
      <c r="C738" s="160"/>
      <c r="E738" s="160"/>
      <c r="F738" s="160"/>
      <c r="H738" s="160"/>
      <c r="I738" s="160"/>
      <c r="K738" s="160"/>
      <c r="L738" s="160"/>
    </row>
    <row r="739" spans="2:12" x14ac:dyDescent="0.25">
      <c r="B739" s="160"/>
      <c r="C739" s="160"/>
      <c r="E739" s="160"/>
      <c r="F739" s="160"/>
      <c r="H739" s="160"/>
      <c r="I739" s="160"/>
      <c r="K739" s="160"/>
      <c r="L739" s="160"/>
    </row>
    <row r="740" spans="2:12" x14ac:dyDescent="0.25">
      <c r="B740" s="160"/>
      <c r="C740" s="160"/>
      <c r="E740" s="160"/>
      <c r="F740" s="160"/>
      <c r="H740" s="160"/>
      <c r="I740" s="160"/>
      <c r="K740" s="160"/>
      <c r="L740" s="160"/>
    </row>
    <row r="741" spans="2:12" x14ac:dyDescent="0.25">
      <c r="B741" s="160"/>
      <c r="C741" s="160"/>
      <c r="E741" s="160"/>
      <c r="F741" s="160"/>
      <c r="H741" s="160"/>
      <c r="I741" s="160"/>
      <c r="K741" s="160"/>
      <c r="L741" s="160"/>
    </row>
    <row r="742" spans="2:12" x14ac:dyDescent="0.25">
      <c r="B742" s="160"/>
      <c r="C742" s="160"/>
      <c r="E742" s="160"/>
      <c r="F742" s="160"/>
      <c r="H742" s="160"/>
      <c r="I742" s="160"/>
      <c r="K742" s="160"/>
      <c r="L742" s="160"/>
    </row>
    <row r="743" spans="2:12" x14ac:dyDescent="0.25">
      <c r="B743" s="160"/>
      <c r="C743" s="160"/>
      <c r="E743" s="160"/>
      <c r="F743" s="160"/>
      <c r="H743" s="160"/>
      <c r="I743" s="160"/>
      <c r="K743" s="160"/>
      <c r="L743" s="160"/>
    </row>
    <row r="744" spans="2:12" x14ac:dyDescent="0.25">
      <c r="B744" s="160"/>
      <c r="C744" s="160"/>
      <c r="E744" s="160"/>
      <c r="F744" s="160"/>
      <c r="H744" s="160"/>
      <c r="I744" s="160"/>
      <c r="K744" s="160"/>
      <c r="L744" s="160"/>
    </row>
    <row r="745" spans="2:12" x14ac:dyDescent="0.25">
      <c r="B745" s="160"/>
      <c r="C745" s="160"/>
      <c r="E745" s="160"/>
      <c r="F745" s="160"/>
      <c r="H745" s="160"/>
      <c r="I745" s="160"/>
      <c r="K745" s="160"/>
      <c r="L745" s="160"/>
    </row>
    <row r="746" spans="2:12" x14ac:dyDescent="0.25">
      <c r="B746" s="160"/>
      <c r="C746" s="160"/>
      <c r="E746" s="160"/>
      <c r="F746" s="160"/>
      <c r="H746" s="160"/>
      <c r="I746" s="160"/>
      <c r="K746" s="160"/>
      <c r="L746" s="160"/>
    </row>
    <row r="747" spans="2:12" x14ac:dyDescent="0.25">
      <c r="B747" s="160"/>
      <c r="C747" s="160"/>
      <c r="E747" s="160"/>
      <c r="F747" s="160"/>
      <c r="H747" s="160"/>
      <c r="I747" s="160"/>
      <c r="K747" s="160"/>
      <c r="L747" s="160"/>
    </row>
    <row r="748" spans="2:12" x14ac:dyDescent="0.25">
      <c r="B748" s="160"/>
      <c r="C748" s="160"/>
      <c r="E748" s="160"/>
      <c r="F748" s="160"/>
      <c r="H748" s="160"/>
      <c r="I748" s="160"/>
      <c r="K748" s="160"/>
      <c r="L748" s="160"/>
    </row>
    <row r="749" spans="2:12" x14ac:dyDescent="0.25">
      <c r="B749" s="160"/>
      <c r="C749" s="160"/>
      <c r="E749" s="160"/>
      <c r="F749" s="160"/>
      <c r="H749" s="160"/>
      <c r="I749" s="160"/>
      <c r="K749" s="160"/>
      <c r="L749" s="160"/>
    </row>
    <row r="750" spans="2:12" x14ac:dyDescent="0.25">
      <c r="B750" s="160"/>
      <c r="C750" s="160"/>
      <c r="E750" s="160"/>
      <c r="F750" s="160"/>
      <c r="H750" s="160"/>
      <c r="I750" s="160"/>
      <c r="K750" s="160"/>
      <c r="L750" s="160"/>
    </row>
    <row r="751" spans="2:12" x14ac:dyDescent="0.25">
      <c r="B751" s="160"/>
      <c r="C751" s="160"/>
      <c r="E751" s="160"/>
      <c r="F751" s="160"/>
      <c r="H751" s="160"/>
      <c r="I751" s="160"/>
      <c r="K751" s="160"/>
      <c r="L751" s="160"/>
    </row>
    <row r="752" spans="2:12" x14ac:dyDescent="0.25">
      <c r="B752" s="160"/>
      <c r="C752" s="160"/>
      <c r="E752" s="160"/>
      <c r="F752" s="160"/>
      <c r="H752" s="160"/>
      <c r="I752" s="160"/>
      <c r="K752" s="160"/>
      <c r="L752" s="160"/>
    </row>
    <row r="753" spans="2:12" x14ac:dyDescent="0.25">
      <c r="B753" s="160"/>
      <c r="C753" s="160"/>
      <c r="E753" s="160"/>
      <c r="F753" s="160"/>
      <c r="H753" s="160"/>
      <c r="I753" s="160"/>
      <c r="K753" s="160"/>
      <c r="L753" s="160"/>
    </row>
    <row r="754" spans="2:12" x14ac:dyDescent="0.25">
      <c r="B754" s="160"/>
      <c r="C754" s="160"/>
      <c r="E754" s="160"/>
      <c r="F754" s="160"/>
      <c r="H754" s="160"/>
      <c r="I754" s="160"/>
      <c r="K754" s="160"/>
      <c r="L754" s="160"/>
    </row>
    <row r="755" spans="2:12" x14ac:dyDescent="0.25">
      <c r="B755" s="160"/>
      <c r="C755" s="160"/>
      <c r="E755" s="160"/>
      <c r="F755" s="160"/>
      <c r="H755" s="160"/>
      <c r="I755" s="160"/>
      <c r="K755" s="160"/>
      <c r="L755" s="160"/>
    </row>
    <row r="756" spans="2:12" x14ac:dyDescent="0.25">
      <c r="B756" s="160"/>
      <c r="C756" s="160"/>
      <c r="E756" s="160"/>
      <c r="F756" s="160"/>
      <c r="H756" s="160"/>
      <c r="I756" s="160"/>
      <c r="K756" s="160"/>
      <c r="L756" s="160"/>
    </row>
    <row r="757" spans="2:12" x14ac:dyDescent="0.25">
      <c r="B757" s="160"/>
      <c r="C757" s="160"/>
      <c r="E757" s="160"/>
      <c r="F757" s="160"/>
      <c r="H757" s="160"/>
      <c r="I757" s="160"/>
      <c r="K757" s="160"/>
      <c r="L757" s="160"/>
    </row>
    <row r="758" spans="2:12" x14ac:dyDescent="0.25">
      <c r="B758" s="160"/>
      <c r="C758" s="160"/>
      <c r="E758" s="160"/>
      <c r="F758" s="160"/>
      <c r="H758" s="160"/>
      <c r="I758" s="160"/>
      <c r="K758" s="160"/>
      <c r="L758" s="160"/>
    </row>
    <row r="759" spans="2:12" x14ac:dyDescent="0.25">
      <c r="B759" s="160"/>
      <c r="C759" s="160"/>
      <c r="E759" s="160"/>
      <c r="F759" s="160"/>
      <c r="H759" s="160"/>
      <c r="I759" s="160"/>
      <c r="K759" s="160"/>
      <c r="L759" s="160"/>
    </row>
    <row r="760" spans="2:12" x14ac:dyDescent="0.25">
      <c r="B760" s="160"/>
      <c r="C760" s="160"/>
      <c r="E760" s="160"/>
      <c r="F760" s="160"/>
      <c r="H760" s="160"/>
      <c r="I760" s="160"/>
      <c r="K760" s="160"/>
      <c r="L760" s="160"/>
    </row>
    <row r="761" spans="2:12" x14ac:dyDescent="0.25">
      <c r="B761" s="160"/>
      <c r="C761" s="160"/>
      <c r="E761" s="160"/>
      <c r="F761" s="160"/>
      <c r="H761" s="160"/>
      <c r="I761" s="160"/>
      <c r="K761" s="160"/>
      <c r="L761" s="160"/>
    </row>
    <row r="762" spans="2:12" x14ac:dyDescent="0.25">
      <c r="B762" s="160"/>
      <c r="C762" s="160"/>
      <c r="E762" s="160"/>
      <c r="F762" s="160"/>
      <c r="H762" s="160"/>
      <c r="I762" s="160"/>
      <c r="K762" s="160"/>
      <c r="L762" s="160"/>
    </row>
    <row r="763" spans="2:12" x14ac:dyDescent="0.25">
      <c r="B763" s="160"/>
      <c r="C763" s="160"/>
      <c r="E763" s="160"/>
      <c r="F763" s="160"/>
      <c r="H763" s="160"/>
      <c r="I763" s="160"/>
      <c r="K763" s="160"/>
      <c r="L763" s="160"/>
    </row>
    <row r="764" spans="2:12" x14ac:dyDescent="0.25">
      <c r="B764" s="160"/>
      <c r="C764" s="160"/>
      <c r="E764" s="160"/>
      <c r="F764" s="160"/>
      <c r="H764" s="160"/>
      <c r="I764" s="160"/>
      <c r="K764" s="160"/>
      <c r="L764" s="160"/>
    </row>
    <row r="765" spans="2:12" x14ac:dyDescent="0.25">
      <c r="B765" s="160"/>
      <c r="C765" s="160"/>
      <c r="E765" s="160"/>
      <c r="F765" s="160"/>
      <c r="H765" s="160"/>
      <c r="I765" s="160"/>
      <c r="K765" s="160"/>
      <c r="L765" s="160"/>
    </row>
    <row r="766" spans="2:12" x14ac:dyDescent="0.25">
      <c r="B766" s="160"/>
      <c r="C766" s="160"/>
      <c r="E766" s="160"/>
      <c r="F766" s="160"/>
      <c r="H766" s="160"/>
      <c r="I766" s="160"/>
      <c r="K766" s="160"/>
      <c r="L766" s="160"/>
    </row>
    <row r="767" spans="2:12" x14ac:dyDescent="0.25">
      <c r="B767" s="160"/>
      <c r="C767" s="160"/>
      <c r="E767" s="160"/>
      <c r="F767" s="160"/>
      <c r="H767" s="160"/>
      <c r="I767" s="160"/>
      <c r="K767" s="160"/>
      <c r="L767" s="160"/>
    </row>
    <row r="768" spans="2:12" x14ac:dyDescent="0.25">
      <c r="B768" s="160"/>
      <c r="C768" s="160"/>
      <c r="E768" s="160"/>
      <c r="F768" s="160"/>
      <c r="H768" s="160"/>
      <c r="I768" s="160"/>
      <c r="K768" s="160"/>
      <c r="L768" s="160"/>
    </row>
    <row r="769" spans="2:12" x14ac:dyDescent="0.25">
      <c r="B769" s="160"/>
      <c r="C769" s="160"/>
      <c r="E769" s="160"/>
      <c r="F769" s="160"/>
      <c r="H769" s="160"/>
      <c r="I769" s="160"/>
      <c r="K769" s="160"/>
      <c r="L769" s="160"/>
    </row>
    <row r="770" spans="2:12" x14ac:dyDescent="0.25">
      <c r="B770" s="160"/>
      <c r="C770" s="160"/>
      <c r="E770" s="160"/>
      <c r="F770" s="160"/>
      <c r="H770" s="160"/>
      <c r="I770" s="160"/>
      <c r="K770" s="160"/>
      <c r="L770" s="160"/>
    </row>
    <row r="771" spans="2:12" x14ac:dyDescent="0.25">
      <c r="B771" s="160"/>
      <c r="C771" s="160"/>
      <c r="E771" s="160"/>
      <c r="F771" s="160"/>
      <c r="H771" s="160"/>
      <c r="I771" s="160"/>
      <c r="K771" s="160"/>
      <c r="L771" s="160"/>
    </row>
    <row r="772" spans="2:12" x14ac:dyDescent="0.25">
      <c r="B772" s="160"/>
      <c r="C772" s="160"/>
      <c r="E772" s="160"/>
      <c r="F772" s="160"/>
      <c r="H772" s="160"/>
      <c r="I772" s="160"/>
      <c r="K772" s="160"/>
      <c r="L772" s="160"/>
    </row>
    <row r="773" spans="2:12" x14ac:dyDescent="0.25">
      <c r="B773" s="160"/>
      <c r="C773" s="160"/>
      <c r="E773" s="160"/>
      <c r="F773" s="160"/>
      <c r="H773" s="160"/>
      <c r="I773" s="160"/>
      <c r="K773" s="160"/>
      <c r="L773" s="160"/>
    </row>
    <row r="774" spans="2:12" x14ac:dyDescent="0.25">
      <c r="B774" s="160"/>
      <c r="C774" s="160"/>
      <c r="E774" s="160"/>
      <c r="F774" s="160"/>
      <c r="H774" s="160"/>
      <c r="I774" s="160"/>
      <c r="K774" s="160"/>
      <c r="L774" s="160"/>
    </row>
    <row r="775" spans="2:12" x14ac:dyDescent="0.25">
      <c r="B775" s="160"/>
      <c r="C775" s="160"/>
      <c r="E775" s="160"/>
      <c r="F775" s="160"/>
      <c r="H775" s="160"/>
      <c r="I775" s="160"/>
      <c r="K775" s="160"/>
      <c r="L775" s="160"/>
    </row>
    <row r="776" spans="2:12" x14ac:dyDescent="0.25">
      <c r="B776" s="160"/>
      <c r="C776" s="160"/>
      <c r="E776" s="160"/>
      <c r="F776" s="160"/>
      <c r="H776" s="160"/>
      <c r="I776" s="160"/>
      <c r="K776" s="160"/>
      <c r="L776" s="160"/>
    </row>
    <row r="777" spans="2:12" x14ac:dyDescent="0.25">
      <c r="B777" s="160"/>
      <c r="C777" s="160"/>
      <c r="E777" s="160"/>
      <c r="F777" s="160"/>
      <c r="H777" s="160"/>
      <c r="I777" s="160"/>
      <c r="K777" s="160"/>
      <c r="L777" s="160"/>
    </row>
    <row r="778" spans="2:12" x14ac:dyDescent="0.25">
      <c r="B778" s="160"/>
      <c r="C778" s="160"/>
      <c r="E778" s="160"/>
      <c r="F778" s="160"/>
      <c r="H778" s="160"/>
      <c r="I778" s="160"/>
      <c r="K778" s="160"/>
      <c r="L778" s="160"/>
    </row>
    <row r="779" spans="2:12" x14ac:dyDescent="0.25">
      <c r="B779" s="160"/>
      <c r="C779" s="160"/>
      <c r="E779" s="160"/>
      <c r="F779" s="160"/>
      <c r="H779" s="160"/>
      <c r="I779" s="160"/>
      <c r="K779" s="160"/>
      <c r="L779" s="160"/>
    </row>
    <row r="780" spans="2:12" x14ac:dyDescent="0.25">
      <c r="B780" s="160"/>
      <c r="C780" s="160"/>
      <c r="E780" s="160"/>
      <c r="F780" s="160"/>
      <c r="H780" s="160"/>
      <c r="I780" s="160"/>
      <c r="K780" s="160"/>
      <c r="L780" s="160"/>
    </row>
    <row r="781" spans="2:12" x14ac:dyDescent="0.25">
      <c r="B781" s="160"/>
      <c r="C781" s="160"/>
      <c r="E781" s="160"/>
      <c r="F781" s="160"/>
      <c r="H781" s="160"/>
      <c r="I781" s="160"/>
      <c r="K781" s="160"/>
      <c r="L781" s="160"/>
    </row>
    <row r="782" spans="2:12" x14ac:dyDescent="0.25">
      <c r="B782" s="160"/>
      <c r="C782" s="160"/>
      <c r="E782" s="160"/>
      <c r="F782" s="160"/>
      <c r="H782" s="160"/>
      <c r="I782" s="160"/>
      <c r="K782" s="160"/>
      <c r="L782" s="160"/>
    </row>
    <row r="783" spans="2:12" x14ac:dyDescent="0.25">
      <c r="B783" s="160"/>
      <c r="C783" s="160"/>
      <c r="E783" s="160"/>
      <c r="F783" s="160"/>
      <c r="H783" s="160"/>
      <c r="I783" s="160"/>
      <c r="K783" s="160"/>
      <c r="L783" s="160"/>
    </row>
    <row r="784" spans="2:12" x14ac:dyDescent="0.25">
      <c r="B784" s="160"/>
      <c r="C784" s="160"/>
      <c r="E784" s="160"/>
      <c r="F784" s="160"/>
      <c r="H784" s="160"/>
      <c r="I784" s="160"/>
      <c r="K784" s="160"/>
      <c r="L784" s="160"/>
    </row>
    <row r="785" spans="2:12" x14ac:dyDescent="0.25">
      <c r="B785" s="160"/>
      <c r="C785" s="160"/>
      <c r="E785" s="160"/>
      <c r="F785" s="160"/>
      <c r="H785" s="160"/>
      <c r="I785" s="160"/>
      <c r="K785" s="160"/>
      <c r="L785" s="160"/>
    </row>
    <row r="786" spans="2:12" x14ac:dyDescent="0.25">
      <c r="B786" s="160"/>
      <c r="C786" s="160"/>
      <c r="E786" s="160"/>
      <c r="F786" s="160"/>
      <c r="H786" s="160"/>
      <c r="I786" s="160"/>
      <c r="K786" s="160"/>
      <c r="L786" s="160"/>
    </row>
    <row r="787" spans="2:12" x14ac:dyDescent="0.25">
      <c r="B787" s="160"/>
      <c r="C787" s="160"/>
      <c r="E787" s="160"/>
      <c r="F787" s="160"/>
      <c r="H787" s="160"/>
      <c r="I787" s="160"/>
      <c r="K787" s="160"/>
      <c r="L787" s="160"/>
    </row>
    <row r="788" spans="2:12" x14ac:dyDescent="0.25">
      <c r="B788" s="160"/>
      <c r="C788" s="160"/>
      <c r="E788" s="160"/>
      <c r="F788" s="160"/>
      <c r="H788" s="160"/>
      <c r="I788" s="160"/>
      <c r="K788" s="160"/>
      <c r="L788" s="160"/>
    </row>
    <row r="789" spans="2:12" x14ac:dyDescent="0.25">
      <c r="B789" s="160"/>
      <c r="C789" s="160"/>
      <c r="E789" s="160"/>
      <c r="F789" s="160"/>
      <c r="H789" s="160"/>
      <c r="I789" s="160"/>
      <c r="K789" s="160"/>
      <c r="L789" s="160"/>
    </row>
    <row r="790" spans="2:12" x14ac:dyDescent="0.25">
      <c r="B790" s="160"/>
      <c r="C790" s="160"/>
      <c r="E790" s="160"/>
      <c r="F790" s="160"/>
      <c r="H790" s="160"/>
      <c r="I790" s="160"/>
      <c r="K790" s="160"/>
      <c r="L790" s="160"/>
    </row>
    <row r="791" spans="2:12" x14ac:dyDescent="0.25">
      <c r="B791" s="160"/>
      <c r="C791" s="160"/>
      <c r="E791" s="160"/>
      <c r="F791" s="160"/>
      <c r="H791" s="160"/>
      <c r="I791" s="160"/>
      <c r="K791" s="160"/>
      <c r="L791" s="160"/>
    </row>
    <row r="792" spans="2:12" x14ac:dyDescent="0.25">
      <c r="B792" s="160"/>
      <c r="C792" s="160"/>
      <c r="E792" s="160"/>
      <c r="F792" s="160"/>
      <c r="H792" s="160"/>
      <c r="I792" s="160"/>
      <c r="K792" s="160"/>
      <c r="L792" s="160"/>
    </row>
    <row r="793" spans="2:12" x14ac:dyDescent="0.25">
      <c r="B793" s="160"/>
      <c r="C793" s="160"/>
      <c r="E793" s="160"/>
      <c r="F793" s="160"/>
      <c r="H793" s="160"/>
      <c r="I793" s="160"/>
      <c r="K793" s="160"/>
      <c r="L793" s="160"/>
    </row>
    <row r="794" spans="2:12" x14ac:dyDescent="0.25">
      <c r="B794" s="160"/>
      <c r="C794" s="160"/>
      <c r="E794" s="160"/>
      <c r="F794" s="160"/>
      <c r="H794" s="160"/>
      <c r="I794" s="160"/>
      <c r="K794" s="160"/>
      <c r="L794" s="160"/>
    </row>
    <row r="795" spans="2:12" x14ac:dyDescent="0.25">
      <c r="B795" s="160"/>
      <c r="C795" s="160"/>
      <c r="E795" s="160"/>
      <c r="F795" s="160"/>
      <c r="H795" s="160"/>
      <c r="I795" s="160"/>
      <c r="K795" s="160"/>
      <c r="L795" s="160"/>
    </row>
    <row r="796" spans="2:12" x14ac:dyDescent="0.25">
      <c r="B796" s="160"/>
      <c r="C796" s="160"/>
      <c r="E796" s="160"/>
      <c r="F796" s="160"/>
      <c r="H796" s="160"/>
      <c r="I796" s="160"/>
      <c r="K796" s="160"/>
      <c r="L796" s="160"/>
    </row>
    <row r="797" spans="2:12" x14ac:dyDescent="0.25">
      <c r="B797" s="160"/>
      <c r="C797" s="160"/>
      <c r="E797" s="160"/>
      <c r="F797" s="160"/>
      <c r="H797" s="160"/>
      <c r="I797" s="160"/>
      <c r="K797" s="160"/>
      <c r="L797" s="160"/>
    </row>
    <row r="798" spans="2:12" x14ac:dyDescent="0.25">
      <c r="B798" s="160"/>
      <c r="C798" s="160"/>
      <c r="E798" s="160"/>
      <c r="F798" s="160"/>
      <c r="H798" s="160"/>
      <c r="I798" s="160"/>
      <c r="K798" s="160"/>
      <c r="L798" s="160"/>
    </row>
    <row r="799" spans="2:12" x14ac:dyDescent="0.25">
      <c r="B799" s="160"/>
      <c r="C799" s="160"/>
      <c r="E799" s="160"/>
      <c r="F799" s="160"/>
      <c r="H799" s="160"/>
      <c r="I799" s="160"/>
      <c r="K799" s="160"/>
      <c r="L799" s="160"/>
    </row>
    <row r="800" spans="2:12" x14ac:dyDescent="0.25">
      <c r="B800" s="160"/>
      <c r="C800" s="160"/>
      <c r="E800" s="160"/>
      <c r="F800" s="160"/>
      <c r="H800" s="160"/>
      <c r="I800" s="160"/>
      <c r="K800" s="160"/>
      <c r="L800" s="160"/>
    </row>
    <row r="801" spans="2:12" x14ac:dyDescent="0.25">
      <c r="B801" s="160"/>
      <c r="C801" s="160"/>
      <c r="E801" s="160"/>
      <c r="F801" s="160"/>
      <c r="H801" s="160"/>
      <c r="I801" s="160"/>
      <c r="K801" s="160"/>
      <c r="L801" s="160"/>
    </row>
    <row r="802" spans="2:12" x14ac:dyDescent="0.25">
      <c r="B802" s="160"/>
      <c r="C802" s="160"/>
      <c r="E802" s="160"/>
      <c r="F802" s="160"/>
      <c r="H802" s="160"/>
      <c r="I802" s="160"/>
      <c r="K802" s="160"/>
      <c r="L802" s="160"/>
    </row>
    <row r="803" spans="2:12" x14ac:dyDescent="0.25">
      <c r="B803" s="160"/>
      <c r="C803" s="160"/>
      <c r="E803" s="160"/>
      <c r="F803" s="160"/>
      <c r="H803" s="160"/>
      <c r="I803" s="160"/>
      <c r="K803" s="160"/>
      <c r="L803" s="160"/>
    </row>
    <row r="804" spans="2:12" x14ac:dyDescent="0.25">
      <c r="B804" s="160"/>
      <c r="C804" s="160"/>
      <c r="E804" s="160"/>
      <c r="F804" s="160"/>
      <c r="H804" s="160"/>
      <c r="I804" s="160"/>
      <c r="K804" s="160"/>
      <c r="L804" s="160"/>
    </row>
    <row r="805" spans="2:12" x14ac:dyDescent="0.25">
      <c r="B805" s="160"/>
      <c r="C805" s="160"/>
      <c r="E805" s="160"/>
      <c r="F805" s="160"/>
      <c r="H805" s="160"/>
      <c r="I805" s="160"/>
      <c r="K805" s="160"/>
      <c r="L805" s="160"/>
    </row>
    <row r="806" spans="2:12" x14ac:dyDescent="0.25">
      <c r="B806" s="160"/>
      <c r="C806" s="160"/>
      <c r="E806" s="160"/>
      <c r="F806" s="160"/>
      <c r="H806" s="160"/>
      <c r="I806" s="160"/>
      <c r="K806" s="160"/>
      <c r="L806" s="160"/>
    </row>
    <row r="807" spans="2:12" x14ac:dyDescent="0.25">
      <c r="B807" s="160"/>
      <c r="C807" s="160"/>
      <c r="E807" s="160"/>
      <c r="F807" s="160"/>
      <c r="H807" s="160"/>
      <c r="I807" s="160"/>
      <c r="K807" s="160"/>
      <c r="L807" s="160"/>
    </row>
    <row r="808" spans="2:12" x14ac:dyDescent="0.25">
      <c r="B808" s="160"/>
      <c r="C808" s="160"/>
      <c r="E808" s="160"/>
      <c r="F808" s="160"/>
      <c r="H808" s="160"/>
      <c r="I808" s="160"/>
      <c r="K808" s="160"/>
      <c r="L808" s="160"/>
    </row>
    <row r="809" spans="2:12" x14ac:dyDescent="0.25">
      <c r="B809" s="160"/>
      <c r="C809" s="160"/>
      <c r="E809" s="160"/>
      <c r="F809" s="160"/>
      <c r="H809" s="160"/>
      <c r="I809" s="160"/>
      <c r="K809" s="160"/>
      <c r="L809" s="160"/>
    </row>
    <row r="810" spans="2:12" x14ac:dyDescent="0.25">
      <c r="B810" s="160"/>
      <c r="C810" s="160"/>
      <c r="E810" s="160"/>
      <c r="F810" s="160"/>
      <c r="H810" s="160"/>
      <c r="I810" s="160"/>
      <c r="K810" s="160"/>
      <c r="L810" s="160"/>
    </row>
    <row r="811" spans="2:12" x14ac:dyDescent="0.25">
      <c r="B811" s="160"/>
      <c r="C811" s="160"/>
      <c r="E811" s="160"/>
      <c r="F811" s="160"/>
      <c r="H811" s="160"/>
      <c r="I811" s="160"/>
      <c r="K811" s="160"/>
      <c r="L811" s="160"/>
    </row>
    <row r="812" spans="2:12" x14ac:dyDescent="0.25">
      <c r="B812" s="160"/>
      <c r="C812" s="160"/>
      <c r="E812" s="160"/>
      <c r="F812" s="160"/>
      <c r="H812" s="160"/>
      <c r="I812" s="160"/>
      <c r="K812" s="160"/>
      <c r="L812" s="160"/>
    </row>
    <row r="813" spans="2:12" x14ac:dyDescent="0.25">
      <c r="B813" s="160"/>
      <c r="C813" s="160"/>
      <c r="E813" s="160"/>
      <c r="F813" s="160"/>
      <c r="H813" s="160"/>
      <c r="I813" s="160"/>
      <c r="K813" s="160"/>
      <c r="L813" s="160"/>
    </row>
    <row r="814" spans="2:12" x14ac:dyDescent="0.25">
      <c r="B814" s="160"/>
      <c r="C814" s="160"/>
      <c r="E814" s="160"/>
      <c r="F814" s="160"/>
      <c r="H814" s="160"/>
      <c r="I814" s="160"/>
      <c r="K814" s="160"/>
      <c r="L814" s="160"/>
    </row>
    <row r="815" spans="2:12" x14ac:dyDescent="0.25">
      <c r="B815" s="160"/>
      <c r="C815" s="160"/>
      <c r="E815" s="160"/>
      <c r="F815" s="160"/>
      <c r="H815" s="160"/>
      <c r="I815" s="160"/>
      <c r="K815" s="160"/>
      <c r="L815" s="160"/>
    </row>
    <row r="816" spans="2:12" x14ac:dyDescent="0.25">
      <c r="B816" s="160"/>
      <c r="C816" s="160"/>
      <c r="E816" s="160"/>
      <c r="F816" s="160"/>
      <c r="H816" s="160"/>
      <c r="I816" s="160"/>
      <c r="K816" s="160"/>
      <c r="L816" s="160"/>
    </row>
    <row r="817" spans="2:12" x14ac:dyDescent="0.25">
      <c r="B817" s="160"/>
      <c r="C817" s="160"/>
      <c r="E817" s="160"/>
      <c r="F817" s="160"/>
      <c r="H817" s="160"/>
      <c r="I817" s="160"/>
      <c r="K817" s="160"/>
      <c r="L817" s="160"/>
    </row>
    <row r="818" spans="2:12" x14ac:dyDescent="0.25">
      <c r="B818" s="160"/>
      <c r="C818" s="160"/>
      <c r="E818" s="160"/>
      <c r="F818" s="160"/>
      <c r="H818" s="160"/>
      <c r="I818" s="160"/>
      <c r="K818" s="160"/>
      <c r="L818" s="160"/>
    </row>
    <row r="819" spans="2:12" x14ac:dyDescent="0.25">
      <c r="B819" s="160"/>
      <c r="C819" s="160"/>
      <c r="E819" s="160"/>
      <c r="F819" s="160"/>
      <c r="H819" s="160"/>
      <c r="I819" s="160"/>
      <c r="K819" s="160"/>
      <c r="L819" s="160"/>
    </row>
    <row r="820" spans="2:12" x14ac:dyDescent="0.25">
      <c r="B820" s="160"/>
      <c r="C820" s="160"/>
      <c r="E820" s="160"/>
      <c r="F820" s="160"/>
      <c r="H820" s="160"/>
      <c r="I820" s="160"/>
      <c r="K820" s="160"/>
      <c r="L820" s="160"/>
    </row>
    <row r="821" spans="2:12" x14ac:dyDescent="0.25">
      <c r="B821" s="160"/>
      <c r="C821" s="160"/>
      <c r="E821" s="160"/>
      <c r="F821" s="160"/>
      <c r="H821" s="160"/>
      <c r="I821" s="160"/>
      <c r="K821" s="160"/>
      <c r="L821" s="160"/>
    </row>
    <row r="822" spans="2:12" x14ac:dyDescent="0.25">
      <c r="B822" s="160"/>
      <c r="C822" s="160"/>
      <c r="E822" s="160"/>
      <c r="F822" s="160"/>
      <c r="H822" s="160"/>
      <c r="I822" s="160"/>
      <c r="K822" s="160"/>
      <c r="L822" s="160"/>
    </row>
    <row r="823" spans="2:12" x14ac:dyDescent="0.25">
      <c r="B823" s="160"/>
      <c r="C823" s="160"/>
      <c r="E823" s="160"/>
      <c r="F823" s="160"/>
      <c r="H823" s="160"/>
      <c r="I823" s="160"/>
      <c r="K823" s="160"/>
      <c r="L823" s="160"/>
    </row>
    <row r="824" spans="2:12" x14ac:dyDescent="0.25">
      <c r="B824" s="160"/>
      <c r="C824" s="160"/>
      <c r="E824" s="160"/>
      <c r="F824" s="160"/>
      <c r="H824" s="160"/>
      <c r="I824" s="160"/>
      <c r="K824" s="160"/>
      <c r="L824" s="160"/>
    </row>
    <row r="825" spans="2:12" x14ac:dyDescent="0.25">
      <c r="B825" s="160"/>
      <c r="C825" s="160"/>
      <c r="E825" s="160"/>
      <c r="F825" s="160"/>
      <c r="H825" s="160"/>
      <c r="I825" s="160"/>
      <c r="K825" s="160"/>
      <c r="L825" s="160"/>
    </row>
    <row r="826" spans="2:12" x14ac:dyDescent="0.25">
      <c r="B826" s="160"/>
      <c r="C826" s="160"/>
      <c r="E826" s="160"/>
      <c r="F826" s="160"/>
      <c r="H826" s="160"/>
      <c r="I826" s="160"/>
      <c r="K826" s="160"/>
      <c r="L826" s="160"/>
    </row>
    <row r="827" spans="2:12" x14ac:dyDescent="0.25">
      <c r="B827" s="160"/>
      <c r="C827" s="160"/>
      <c r="E827" s="160"/>
      <c r="F827" s="160"/>
      <c r="H827" s="160"/>
      <c r="I827" s="160"/>
      <c r="K827" s="160"/>
      <c r="L827" s="160"/>
    </row>
    <row r="828" spans="2:12" x14ac:dyDescent="0.25">
      <c r="B828" s="160"/>
      <c r="C828" s="160"/>
      <c r="E828" s="160"/>
      <c r="F828" s="160"/>
      <c r="H828" s="160"/>
      <c r="I828" s="160"/>
      <c r="K828" s="160"/>
      <c r="L828" s="160"/>
    </row>
    <row r="829" spans="2:12" x14ac:dyDescent="0.25">
      <c r="B829" s="160"/>
      <c r="C829" s="160"/>
      <c r="E829" s="160"/>
      <c r="F829" s="160"/>
      <c r="H829" s="160"/>
      <c r="I829" s="160"/>
      <c r="K829" s="160"/>
      <c r="L829" s="160"/>
    </row>
    <row r="830" spans="2:12" x14ac:dyDescent="0.25">
      <c r="B830" s="160"/>
      <c r="C830" s="160"/>
      <c r="E830" s="160"/>
      <c r="F830" s="160"/>
      <c r="H830" s="160"/>
      <c r="I830" s="160"/>
      <c r="K830" s="160"/>
      <c r="L830" s="160"/>
    </row>
    <row r="831" spans="2:12" x14ac:dyDescent="0.25">
      <c r="B831" s="160"/>
      <c r="C831" s="160"/>
      <c r="E831" s="160"/>
      <c r="F831" s="160"/>
      <c r="H831" s="160"/>
      <c r="I831" s="160"/>
      <c r="K831" s="160"/>
      <c r="L831" s="160"/>
    </row>
    <row r="832" spans="2:12" x14ac:dyDescent="0.25">
      <c r="B832" s="160"/>
      <c r="C832" s="160"/>
      <c r="E832" s="160"/>
      <c r="F832" s="160"/>
      <c r="H832" s="160"/>
      <c r="I832" s="160"/>
      <c r="K832" s="160"/>
      <c r="L832" s="160"/>
    </row>
    <row r="833" spans="2:12" x14ac:dyDescent="0.25">
      <c r="B833" s="160"/>
      <c r="C833" s="160"/>
      <c r="E833" s="160"/>
      <c r="F833" s="160"/>
      <c r="H833" s="160"/>
      <c r="I833" s="160"/>
      <c r="K833" s="160"/>
      <c r="L833" s="160"/>
    </row>
    <row r="834" spans="2:12" x14ac:dyDescent="0.25">
      <c r="B834" s="160"/>
      <c r="C834" s="160"/>
      <c r="E834" s="160"/>
      <c r="F834" s="160"/>
      <c r="H834" s="160"/>
      <c r="I834" s="160"/>
      <c r="K834" s="160"/>
      <c r="L834" s="160"/>
    </row>
    <row r="835" spans="2:12" x14ac:dyDescent="0.25">
      <c r="B835" s="160"/>
      <c r="C835" s="160"/>
      <c r="E835" s="160"/>
      <c r="F835" s="160"/>
      <c r="H835" s="160"/>
      <c r="I835" s="160"/>
      <c r="K835" s="160"/>
      <c r="L835" s="160"/>
    </row>
    <row r="836" spans="2:12" x14ac:dyDescent="0.25">
      <c r="B836" s="160"/>
      <c r="C836" s="160"/>
      <c r="E836" s="160"/>
      <c r="F836" s="160"/>
      <c r="H836" s="160"/>
      <c r="I836" s="160"/>
      <c r="K836" s="160"/>
      <c r="L836" s="160"/>
    </row>
    <row r="837" spans="2:12" x14ac:dyDescent="0.25">
      <c r="B837" s="160"/>
      <c r="C837" s="160"/>
      <c r="E837" s="160"/>
      <c r="F837" s="160"/>
      <c r="H837" s="160"/>
      <c r="I837" s="160"/>
      <c r="K837" s="160"/>
      <c r="L837" s="160"/>
    </row>
    <row r="838" spans="2:12" x14ac:dyDescent="0.25">
      <c r="B838" s="160"/>
      <c r="C838" s="160"/>
      <c r="E838" s="160"/>
      <c r="F838" s="160"/>
      <c r="H838" s="160"/>
      <c r="I838" s="160"/>
      <c r="K838" s="160"/>
      <c r="L838" s="160"/>
    </row>
    <row r="839" spans="2:12" x14ac:dyDescent="0.25">
      <c r="B839" s="160"/>
      <c r="C839" s="160"/>
      <c r="E839" s="160"/>
      <c r="F839" s="160"/>
      <c r="H839" s="160"/>
      <c r="I839" s="160"/>
      <c r="K839" s="160"/>
      <c r="L839" s="160"/>
    </row>
    <row r="840" spans="2:12" x14ac:dyDescent="0.25">
      <c r="B840" s="160"/>
      <c r="C840" s="160"/>
      <c r="E840" s="160"/>
      <c r="F840" s="160"/>
      <c r="H840" s="160"/>
      <c r="I840" s="160"/>
      <c r="K840" s="160"/>
      <c r="L840" s="160"/>
    </row>
    <row r="841" spans="2:12" x14ac:dyDescent="0.25">
      <c r="B841" s="160"/>
      <c r="C841" s="160"/>
      <c r="E841" s="160"/>
      <c r="F841" s="160"/>
      <c r="H841" s="160"/>
      <c r="I841" s="160"/>
      <c r="K841" s="160"/>
      <c r="L841" s="160"/>
    </row>
    <row r="842" spans="2:12" x14ac:dyDescent="0.25">
      <c r="B842" s="160"/>
      <c r="C842" s="160"/>
      <c r="E842" s="160"/>
      <c r="F842" s="160"/>
      <c r="H842" s="160"/>
      <c r="I842" s="160"/>
      <c r="K842" s="160"/>
      <c r="L842" s="160"/>
    </row>
    <row r="843" spans="2:12" x14ac:dyDescent="0.25">
      <c r="B843" s="160"/>
      <c r="C843" s="160"/>
      <c r="E843" s="160"/>
      <c r="F843" s="160"/>
      <c r="H843" s="160"/>
      <c r="I843" s="160"/>
      <c r="K843" s="160"/>
      <c r="L843" s="160"/>
    </row>
    <row r="844" spans="2:12" x14ac:dyDescent="0.25">
      <c r="B844" s="160"/>
      <c r="C844" s="160"/>
      <c r="E844" s="160"/>
      <c r="F844" s="160"/>
      <c r="H844" s="160"/>
      <c r="I844" s="160"/>
      <c r="K844" s="160"/>
      <c r="L844" s="160"/>
    </row>
    <row r="845" spans="2:12" x14ac:dyDescent="0.25">
      <c r="B845" s="160"/>
      <c r="C845" s="160"/>
      <c r="E845" s="160"/>
      <c r="F845" s="160"/>
      <c r="H845" s="160"/>
      <c r="I845" s="160"/>
      <c r="K845" s="160"/>
      <c r="L845" s="160"/>
    </row>
    <row r="846" spans="2:12" x14ac:dyDescent="0.25">
      <c r="B846" s="160"/>
      <c r="C846" s="160"/>
      <c r="E846" s="160"/>
      <c r="F846" s="160"/>
      <c r="H846" s="160"/>
      <c r="I846" s="160"/>
      <c r="K846" s="160"/>
      <c r="L846" s="160"/>
    </row>
    <row r="847" spans="2:12" x14ac:dyDescent="0.25">
      <c r="B847" s="160"/>
      <c r="C847" s="160"/>
      <c r="E847" s="160"/>
      <c r="F847" s="160"/>
      <c r="H847" s="160"/>
      <c r="I847" s="160"/>
      <c r="K847" s="160"/>
      <c r="L847" s="160"/>
    </row>
    <row r="848" spans="2:12" x14ac:dyDescent="0.25">
      <c r="B848" s="160"/>
      <c r="C848" s="160"/>
      <c r="E848" s="160"/>
      <c r="F848" s="160"/>
      <c r="H848" s="160"/>
      <c r="I848" s="160"/>
      <c r="K848" s="160"/>
      <c r="L848" s="160"/>
    </row>
    <row r="849" spans="2:12" x14ac:dyDescent="0.25">
      <c r="B849" s="160"/>
      <c r="C849" s="160"/>
      <c r="E849" s="160"/>
      <c r="F849" s="160"/>
      <c r="H849" s="160"/>
      <c r="I849" s="160"/>
      <c r="K849" s="160"/>
      <c r="L849" s="160"/>
    </row>
    <row r="850" spans="2:12" x14ac:dyDescent="0.25">
      <c r="B850" s="160"/>
      <c r="C850" s="160"/>
      <c r="E850" s="160"/>
      <c r="F850" s="160"/>
      <c r="H850" s="160"/>
      <c r="I850" s="160"/>
      <c r="K850" s="160"/>
      <c r="L850" s="160"/>
    </row>
    <row r="851" spans="2:12" x14ac:dyDescent="0.25">
      <c r="B851" s="160"/>
      <c r="C851" s="160"/>
      <c r="E851" s="160"/>
      <c r="F851" s="160"/>
      <c r="H851" s="160"/>
      <c r="I851" s="160"/>
      <c r="K851" s="160"/>
      <c r="L851" s="160"/>
    </row>
    <row r="852" spans="2:12" x14ac:dyDescent="0.25">
      <c r="B852" s="160"/>
      <c r="C852" s="160"/>
      <c r="E852" s="160"/>
      <c r="F852" s="160"/>
      <c r="H852" s="160"/>
      <c r="I852" s="160"/>
      <c r="K852" s="160"/>
      <c r="L852" s="160"/>
    </row>
    <row r="853" spans="2:12" x14ac:dyDescent="0.25">
      <c r="B853" s="160"/>
      <c r="C853" s="160"/>
      <c r="E853" s="160"/>
      <c r="F853" s="160"/>
      <c r="H853" s="160"/>
      <c r="I853" s="160"/>
      <c r="K853" s="160"/>
      <c r="L853" s="160"/>
    </row>
    <row r="854" spans="2:12" x14ac:dyDescent="0.25">
      <c r="B854" s="160"/>
      <c r="C854" s="160"/>
      <c r="E854" s="160"/>
      <c r="F854" s="160"/>
      <c r="H854" s="160"/>
      <c r="I854" s="160"/>
      <c r="K854" s="160"/>
      <c r="L854" s="160"/>
    </row>
    <row r="855" spans="2:12" x14ac:dyDescent="0.25">
      <c r="B855" s="160"/>
      <c r="C855" s="160"/>
      <c r="E855" s="160"/>
      <c r="F855" s="160"/>
      <c r="H855" s="160"/>
      <c r="I855" s="160"/>
      <c r="K855" s="160"/>
      <c r="L855" s="160"/>
    </row>
    <row r="856" spans="2:12" x14ac:dyDescent="0.25">
      <c r="B856" s="160"/>
      <c r="C856" s="160"/>
      <c r="E856" s="160"/>
      <c r="F856" s="160"/>
      <c r="H856" s="160"/>
      <c r="I856" s="160"/>
      <c r="K856" s="160"/>
      <c r="L856" s="160"/>
    </row>
    <row r="857" spans="2:12" x14ac:dyDescent="0.25">
      <c r="B857" s="160"/>
      <c r="C857" s="160"/>
      <c r="E857" s="160"/>
      <c r="F857" s="160"/>
      <c r="H857" s="160"/>
      <c r="I857" s="160"/>
      <c r="K857" s="160"/>
      <c r="L857" s="160"/>
    </row>
    <row r="858" spans="2:12" x14ac:dyDescent="0.25">
      <c r="B858" s="160"/>
      <c r="C858" s="160"/>
      <c r="E858" s="160"/>
      <c r="F858" s="160"/>
      <c r="H858" s="160"/>
      <c r="I858" s="160"/>
      <c r="K858" s="160"/>
      <c r="L858" s="160"/>
    </row>
    <row r="859" spans="2:12" x14ac:dyDescent="0.25">
      <c r="B859" s="160"/>
      <c r="C859" s="160"/>
      <c r="E859" s="160"/>
      <c r="F859" s="160"/>
      <c r="H859" s="160"/>
      <c r="I859" s="160"/>
      <c r="K859" s="160"/>
      <c r="L859" s="160"/>
    </row>
    <row r="860" spans="2:12" x14ac:dyDescent="0.25">
      <c r="B860" s="160"/>
      <c r="C860" s="160"/>
      <c r="E860" s="160"/>
      <c r="F860" s="160"/>
      <c r="H860" s="160"/>
      <c r="I860" s="160"/>
      <c r="K860" s="160"/>
      <c r="L860" s="160"/>
    </row>
    <row r="861" spans="2:12" x14ac:dyDescent="0.25">
      <c r="B861" s="160"/>
      <c r="C861" s="160"/>
      <c r="E861" s="160"/>
      <c r="F861" s="160"/>
      <c r="H861" s="160"/>
      <c r="I861" s="160"/>
      <c r="K861" s="160"/>
      <c r="L861" s="160"/>
    </row>
    <row r="862" spans="2:12" x14ac:dyDescent="0.25">
      <c r="B862" s="160"/>
      <c r="C862" s="160"/>
      <c r="E862" s="160"/>
      <c r="F862" s="160"/>
      <c r="H862" s="160"/>
      <c r="I862" s="160"/>
      <c r="K862" s="160"/>
      <c r="L862" s="160"/>
    </row>
    <row r="863" spans="2:12" x14ac:dyDescent="0.25">
      <c r="B863" s="160"/>
      <c r="C863" s="160"/>
      <c r="E863" s="160"/>
      <c r="F863" s="160"/>
      <c r="H863" s="160"/>
      <c r="I863" s="160"/>
      <c r="K863" s="160"/>
      <c r="L863" s="160"/>
    </row>
    <row r="864" spans="2:12" x14ac:dyDescent="0.25">
      <c r="B864" s="160"/>
      <c r="C864" s="160"/>
      <c r="E864" s="160"/>
      <c r="F864" s="160"/>
      <c r="H864" s="160"/>
      <c r="I864" s="160"/>
      <c r="K864" s="160"/>
      <c r="L864" s="160"/>
    </row>
    <row r="865" spans="2:12" x14ac:dyDescent="0.25">
      <c r="B865" s="160"/>
      <c r="C865" s="160"/>
      <c r="E865" s="160"/>
      <c r="F865" s="160"/>
      <c r="H865" s="160"/>
      <c r="I865" s="160"/>
      <c r="K865" s="160"/>
      <c r="L865" s="160"/>
    </row>
    <row r="866" spans="2:12" x14ac:dyDescent="0.25">
      <c r="B866" s="160"/>
      <c r="C866" s="160"/>
      <c r="E866" s="160"/>
      <c r="F866" s="160"/>
      <c r="H866" s="160"/>
      <c r="I866" s="160"/>
      <c r="K866" s="160"/>
      <c r="L866" s="160"/>
    </row>
    <row r="867" spans="2:12" x14ac:dyDescent="0.25">
      <c r="B867" s="160"/>
      <c r="C867" s="160"/>
      <c r="E867" s="160"/>
      <c r="F867" s="160"/>
      <c r="H867" s="160"/>
      <c r="I867" s="160"/>
      <c r="K867" s="160"/>
      <c r="L867" s="160"/>
    </row>
    <row r="868" spans="2:12" x14ac:dyDescent="0.25">
      <c r="B868" s="160"/>
      <c r="C868" s="160"/>
      <c r="E868" s="160"/>
      <c r="F868" s="160"/>
      <c r="H868" s="160"/>
      <c r="I868" s="160"/>
      <c r="K868" s="160"/>
      <c r="L868" s="160"/>
    </row>
    <row r="869" spans="2:12" x14ac:dyDescent="0.25">
      <c r="B869" s="160"/>
      <c r="C869" s="160"/>
      <c r="E869" s="160"/>
      <c r="F869" s="160"/>
      <c r="H869" s="160"/>
      <c r="I869" s="160"/>
      <c r="K869" s="160"/>
      <c r="L869" s="160"/>
    </row>
    <row r="870" spans="2:12" x14ac:dyDescent="0.25">
      <c r="B870" s="160"/>
      <c r="C870" s="160"/>
      <c r="E870" s="160"/>
      <c r="F870" s="160"/>
      <c r="H870" s="160"/>
      <c r="I870" s="160"/>
      <c r="K870" s="160"/>
      <c r="L870" s="160"/>
    </row>
    <row r="871" spans="2:12" x14ac:dyDescent="0.25">
      <c r="B871" s="160"/>
      <c r="C871" s="160"/>
      <c r="E871" s="160"/>
      <c r="F871" s="160"/>
      <c r="H871" s="160"/>
      <c r="I871" s="160"/>
      <c r="K871" s="160"/>
      <c r="L871" s="160"/>
    </row>
    <row r="872" spans="2:12" x14ac:dyDescent="0.25">
      <c r="B872" s="160"/>
      <c r="C872" s="160"/>
      <c r="E872" s="160"/>
      <c r="F872" s="160"/>
      <c r="H872" s="160"/>
      <c r="I872" s="160"/>
      <c r="K872" s="160"/>
      <c r="L872" s="160"/>
    </row>
    <row r="873" spans="2:12" x14ac:dyDescent="0.25">
      <c r="B873" s="160"/>
      <c r="C873" s="160"/>
      <c r="E873" s="160"/>
      <c r="F873" s="160"/>
      <c r="H873" s="160"/>
      <c r="I873" s="160"/>
      <c r="K873" s="160"/>
      <c r="L873" s="160"/>
    </row>
    <row r="874" spans="2:12" x14ac:dyDescent="0.25">
      <c r="B874" s="160"/>
      <c r="C874" s="160"/>
      <c r="E874" s="160"/>
      <c r="F874" s="160"/>
      <c r="H874" s="160"/>
      <c r="I874" s="160"/>
      <c r="K874" s="160"/>
      <c r="L874" s="160"/>
    </row>
    <row r="875" spans="2:12" x14ac:dyDescent="0.25">
      <c r="B875" s="160"/>
      <c r="C875" s="160"/>
      <c r="E875" s="160"/>
      <c r="F875" s="160"/>
      <c r="H875" s="160"/>
      <c r="I875" s="160"/>
      <c r="K875" s="160"/>
      <c r="L875" s="160"/>
    </row>
    <row r="876" spans="2:12" x14ac:dyDescent="0.25">
      <c r="B876" s="160"/>
      <c r="C876" s="160"/>
      <c r="E876" s="160"/>
      <c r="F876" s="160"/>
      <c r="H876" s="160"/>
      <c r="I876" s="160"/>
      <c r="K876" s="160"/>
      <c r="L876" s="160"/>
    </row>
    <row r="877" spans="2:12" x14ac:dyDescent="0.25">
      <c r="B877" s="160"/>
      <c r="C877" s="160"/>
      <c r="E877" s="160"/>
      <c r="F877" s="160"/>
      <c r="H877" s="160"/>
      <c r="I877" s="160"/>
      <c r="K877" s="160"/>
      <c r="L877" s="160"/>
    </row>
    <row r="878" spans="2:12" x14ac:dyDescent="0.25">
      <c r="B878" s="160"/>
      <c r="C878" s="160"/>
      <c r="E878" s="160"/>
      <c r="F878" s="160"/>
      <c r="H878" s="160"/>
      <c r="I878" s="160"/>
      <c r="K878" s="160"/>
      <c r="L878" s="160"/>
    </row>
    <row r="879" spans="2:12" x14ac:dyDescent="0.25">
      <c r="B879" s="160"/>
      <c r="C879" s="160"/>
      <c r="E879" s="160"/>
      <c r="F879" s="160"/>
      <c r="H879" s="160"/>
      <c r="I879" s="160"/>
      <c r="K879" s="160"/>
      <c r="L879" s="160"/>
    </row>
    <row r="880" spans="2:12" x14ac:dyDescent="0.25">
      <c r="B880" s="160"/>
      <c r="C880" s="160"/>
      <c r="E880" s="160"/>
      <c r="F880" s="160"/>
      <c r="H880" s="160"/>
      <c r="I880" s="160"/>
      <c r="K880" s="160"/>
      <c r="L880" s="160"/>
    </row>
    <row r="881" spans="2:12" x14ac:dyDescent="0.25">
      <c r="B881" s="160"/>
      <c r="C881" s="160"/>
      <c r="E881" s="160"/>
      <c r="F881" s="160"/>
      <c r="H881" s="160"/>
      <c r="I881" s="160"/>
      <c r="K881" s="160"/>
      <c r="L881" s="160"/>
    </row>
    <row r="882" spans="2:12" x14ac:dyDescent="0.25">
      <c r="B882" s="160"/>
      <c r="C882" s="160"/>
      <c r="E882" s="160"/>
      <c r="F882" s="160"/>
      <c r="H882" s="160"/>
      <c r="I882" s="160"/>
      <c r="K882" s="160"/>
      <c r="L882" s="160"/>
    </row>
    <row r="883" spans="2:12" x14ac:dyDescent="0.25">
      <c r="B883" s="160"/>
      <c r="C883" s="160"/>
      <c r="E883" s="160"/>
      <c r="F883" s="160"/>
      <c r="H883" s="160"/>
      <c r="I883" s="160"/>
      <c r="K883" s="160"/>
      <c r="L883" s="160"/>
    </row>
    <row r="884" spans="2:12" x14ac:dyDescent="0.25">
      <c r="B884" s="160"/>
      <c r="C884" s="160"/>
      <c r="E884" s="160"/>
      <c r="F884" s="160"/>
      <c r="H884" s="160"/>
      <c r="I884" s="160"/>
      <c r="K884" s="160"/>
      <c r="L884" s="160"/>
    </row>
    <row r="885" spans="2:12" x14ac:dyDescent="0.25">
      <c r="B885" s="160"/>
      <c r="C885" s="160"/>
      <c r="E885" s="160"/>
      <c r="F885" s="160"/>
      <c r="H885" s="160"/>
      <c r="I885" s="160"/>
      <c r="K885" s="160"/>
      <c r="L885" s="160"/>
    </row>
    <row r="886" spans="2:12" x14ac:dyDescent="0.25">
      <c r="B886" s="160"/>
      <c r="C886" s="160"/>
      <c r="E886" s="160"/>
      <c r="F886" s="160"/>
      <c r="H886" s="160"/>
      <c r="I886" s="160"/>
      <c r="K886" s="160"/>
      <c r="L886" s="160"/>
    </row>
    <row r="887" spans="2:12" x14ac:dyDescent="0.25">
      <c r="B887" s="160"/>
      <c r="C887" s="160"/>
      <c r="E887" s="160"/>
      <c r="F887" s="160"/>
      <c r="H887" s="160"/>
      <c r="I887" s="160"/>
      <c r="K887" s="160"/>
      <c r="L887" s="160"/>
    </row>
    <row r="888" spans="2:12" x14ac:dyDescent="0.25">
      <c r="B888" s="160"/>
      <c r="C888" s="160"/>
      <c r="E888" s="160"/>
      <c r="F888" s="160"/>
      <c r="H888" s="160"/>
      <c r="I888" s="160"/>
      <c r="K888" s="160"/>
      <c r="L888" s="160"/>
    </row>
    <row r="889" spans="2:12" x14ac:dyDescent="0.25">
      <c r="B889" s="160"/>
      <c r="C889" s="160"/>
      <c r="E889" s="160"/>
      <c r="F889" s="160"/>
      <c r="H889" s="160"/>
      <c r="I889" s="160"/>
      <c r="K889" s="160"/>
      <c r="L889" s="160"/>
    </row>
    <row r="890" spans="2:12" x14ac:dyDescent="0.25">
      <c r="B890" s="160"/>
      <c r="C890" s="160"/>
      <c r="E890" s="160"/>
      <c r="F890" s="160"/>
      <c r="H890" s="160"/>
      <c r="I890" s="160"/>
      <c r="K890" s="160"/>
      <c r="L890" s="160"/>
    </row>
    <row r="891" spans="2:12" x14ac:dyDescent="0.25">
      <c r="B891" s="160"/>
      <c r="C891" s="160"/>
      <c r="E891" s="160"/>
      <c r="F891" s="160"/>
      <c r="H891" s="160"/>
      <c r="I891" s="160"/>
      <c r="K891" s="160"/>
      <c r="L891" s="160"/>
    </row>
    <row r="892" spans="2:12" x14ac:dyDescent="0.25">
      <c r="B892" s="160"/>
      <c r="C892" s="160"/>
      <c r="E892" s="160"/>
      <c r="F892" s="160"/>
      <c r="H892" s="160"/>
      <c r="I892" s="160"/>
      <c r="K892" s="160"/>
      <c r="L892" s="160"/>
    </row>
    <row r="893" spans="2:12" x14ac:dyDescent="0.25">
      <c r="B893" s="160"/>
      <c r="C893" s="160"/>
      <c r="E893" s="160"/>
      <c r="F893" s="160"/>
      <c r="H893" s="160"/>
      <c r="I893" s="160"/>
      <c r="K893" s="160"/>
      <c r="L893" s="160"/>
    </row>
    <row r="894" spans="2:12" x14ac:dyDescent="0.25">
      <c r="B894" s="160"/>
      <c r="C894" s="160"/>
      <c r="E894" s="160"/>
      <c r="F894" s="160"/>
      <c r="H894" s="160"/>
      <c r="I894" s="160"/>
      <c r="K894" s="160"/>
      <c r="L894" s="160"/>
    </row>
    <row r="895" spans="2:12" x14ac:dyDescent="0.25">
      <c r="B895" s="160"/>
      <c r="C895" s="160"/>
      <c r="E895" s="160"/>
      <c r="F895" s="160"/>
      <c r="H895" s="160"/>
      <c r="I895" s="160"/>
      <c r="K895" s="160"/>
      <c r="L895" s="160"/>
    </row>
    <row r="896" spans="2:12" x14ac:dyDescent="0.25">
      <c r="B896" s="160"/>
      <c r="C896" s="160"/>
      <c r="E896" s="160"/>
      <c r="F896" s="160"/>
      <c r="H896" s="160"/>
      <c r="I896" s="160"/>
      <c r="K896" s="160"/>
      <c r="L896" s="160"/>
    </row>
    <row r="897" spans="2:12" x14ac:dyDescent="0.25">
      <c r="B897" s="160"/>
      <c r="C897" s="160"/>
      <c r="E897" s="160"/>
      <c r="F897" s="160"/>
      <c r="H897" s="160"/>
      <c r="I897" s="160"/>
      <c r="K897" s="160"/>
      <c r="L897" s="160"/>
    </row>
    <row r="898" spans="2:12" x14ac:dyDescent="0.25">
      <c r="B898" s="160"/>
      <c r="C898" s="160"/>
      <c r="E898" s="160"/>
      <c r="F898" s="160"/>
      <c r="H898" s="160"/>
      <c r="I898" s="160"/>
      <c r="K898" s="160"/>
      <c r="L898" s="160"/>
    </row>
    <row r="899" spans="2:12" x14ac:dyDescent="0.25">
      <c r="B899" s="160"/>
      <c r="C899" s="160"/>
      <c r="E899" s="160"/>
      <c r="F899" s="160"/>
      <c r="H899" s="160"/>
      <c r="I899" s="160"/>
      <c r="K899" s="160"/>
      <c r="L899" s="160"/>
    </row>
    <row r="900" spans="2:12" x14ac:dyDescent="0.25">
      <c r="B900" s="160"/>
      <c r="C900" s="160"/>
      <c r="E900" s="160"/>
      <c r="F900" s="160"/>
      <c r="H900" s="160"/>
      <c r="I900" s="160"/>
      <c r="K900" s="160"/>
      <c r="L900" s="160"/>
    </row>
    <row r="901" spans="2:12" x14ac:dyDescent="0.25">
      <c r="B901" s="160"/>
      <c r="C901" s="160"/>
      <c r="E901" s="160"/>
      <c r="F901" s="160"/>
      <c r="H901" s="160"/>
      <c r="I901" s="160"/>
      <c r="K901" s="160"/>
      <c r="L901" s="160"/>
    </row>
    <row r="902" spans="2:12" x14ac:dyDescent="0.25">
      <c r="B902" s="160"/>
      <c r="C902" s="160"/>
      <c r="E902" s="160"/>
      <c r="F902" s="160"/>
      <c r="H902" s="160"/>
      <c r="I902" s="160"/>
      <c r="K902" s="160"/>
      <c r="L902" s="160"/>
    </row>
    <row r="903" spans="2:12" x14ac:dyDescent="0.25">
      <c r="B903" s="160"/>
      <c r="C903" s="160"/>
      <c r="E903" s="160"/>
      <c r="F903" s="160"/>
      <c r="H903" s="160"/>
      <c r="I903" s="160"/>
      <c r="K903" s="160"/>
      <c r="L903" s="160"/>
    </row>
    <row r="904" spans="2:12" x14ac:dyDescent="0.25">
      <c r="B904" s="160"/>
      <c r="C904" s="160"/>
      <c r="E904" s="160"/>
      <c r="F904" s="160"/>
      <c r="H904" s="160"/>
      <c r="I904" s="160"/>
      <c r="K904" s="160"/>
      <c r="L904" s="160"/>
    </row>
    <row r="905" spans="2:12" x14ac:dyDescent="0.25">
      <c r="B905" s="160"/>
      <c r="C905" s="160"/>
      <c r="E905" s="160"/>
      <c r="F905" s="160"/>
      <c r="H905" s="160"/>
      <c r="I905" s="160"/>
      <c r="K905" s="160"/>
      <c r="L905" s="160"/>
    </row>
    <row r="906" spans="2:12" x14ac:dyDescent="0.25">
      <c r="B906" s="160"/>
      <c r="C906" s="160"/>
      <c r="E906" s="160"/>
      <c r="F906" s="160"/>
      <c r="H906" s="160"/>
      <c r="I906" s="160"/>
      <c r="K906" s="160"/>
      <c r="L906" s="160"/>
    </row>
    <row r="907" spans="2:12" x14ac:dyDescent="0.25">
      <c r="B907" s="160"/>
      <c r="C907" s="160"/>
      <c r="E907" s="160"/>
      <c r="F907" s="160"/>
      <c r="H907" s="160"/>
      <c r="I907" s="160"/>
      <c r="K907" s="160"/>
      <c r="L907" s="160"/>
    </row>
    <row r="908" spans="2:12" x14ac:dyDescent="0.25">
      <c r="B908" s="160"/>
      <c r="C908" s="160"/>
      <c r="E908" s="160"/>
      <c r="F908" s="160"/>
      <c r="H908" s="160"/>
      <c r="I908" s="160"/>
      <c r="K908" s="160"/>
      <c r="L908" s="160"/>
    </row>
    <row r="909" spans="2:12" x14ac:dyDescent="0.25">
      <c r="B909" s="160"/>
      <c r="C909" s="160"/>
      <c r="E909" s="160"/>
      <c r="F909" s="160"/>
      <c r="H909" s="160"/>
      <c r="I909" s="160"/>
      <c r="K909" s="160"/>
      <c r="L909" s="160"/>
    </row>
    <row r="910" spans="2:12" x14ac:dyDescent="0.25">
      <c r="B910" s="160"/>
      <c r="C910" s="160"/>
      <c r="E910" s="160"/>
      <c r="F910" s="160"/>
      <c r="H910" s="160"/>
      <c r="I910" s="160"/>
      <c r="K910" s="160"/>
      <c r="L910" s="160"/>
    </row>
    <row r="911" spans="2:12" x14ac:dyDescent="0.25">
      <c r="B911" s="160"/>
      <c r="C911" s="160"/>
      <c r="E911" s="160"/>
      <c r="F911" s="160"/>
      <c r="H911" s="160"/>
      <c r="I911" s="160"/>
      <c r="K911" s="160"/>
      <c r="L911" s="160"/>
    </row>
    <row r="912" spans="2:12" x14ac:dyDescent="0.25">
      <c r="B912" s="160"/>
      <c r="C912" s="160"/>
      <c r="E912" s="160"/>
      <c r="F912" s="160"/>
      <c r="H912" s="160"/>
      <c r="I912" s="160"/>
      <c r="K912" s="160"/>
      <c r="L912" s="160"/>
    </row>
    <row r="913" spans="2:12" x14ac:dyDescent="0.25">
      <c r="B913" s="160"/>
      <c r="C913" s="160"/>
      <c r="E913" s="160"/>
      <c r="F913" s="160"/>
      <c r="H913" s="160"/>
      <c r="I913" s="160"/>
      <c r="K913" s="160"/>
      <c r="L913" s="160"/>
    </row>
    <row r="914" spans="2:12" x14ac:dyDescent="0.25">
      <c r="B914" s="160"/>
      <c r="C914" s="160"/>
      <c r="E914" s="160"/>
      <c r="F914" s="160"/>
      <c r="H914" s="160"/>
      <c r="I914" s="160"/>
      <c r="K914" s="160"/>
      <c r="L914" s="160"/>
    </row>
    <row r="915" spans="2:12" x14ac:dyDescent="0.25">
      <c r="B915" s="160"/>
      <c r="C915" s="160"/>
      <c r="E915" s="160"/>
      <c r="F915" s="160"/>
      <c r="H915" s="160"/>
      <c r="I915" s="160"/>
      <c r="K915" s="160"/>
      <c r="L915" s="160"/>
    </row>
    <row r="916" spans="2:12" x14ac:dyDescent="0.25">
      <c r="B916" s="160"/>
      <c r="C916" s="160"/>
      <c r="E916" s="160"/>
      <c r="F916" s="160"/>
      <c r="H916" s="160"/>
      <c r="I916" s="160"/>
      <c r="K916" s="160"/>
      <c r="L916" s="160"/>
    </row>
    <row r="917" spans="2:12" x14ac:dyDescent="0.25">
      <c r="B917" s="160"/>
      <c r="C917" s="160"/>
      <c r="E917" s="160"/>
      <c r="F917" s="160"/>
      <c r="H917" s="160"/>
      <c r="I917" s="160"/>
      <c r="K917" s="160"/>
      <c r="L917" s="160"/>
    </row>
    <row r="918" spans="2:12" x14ac:dyDescent="0.25">
      <c r="B918" s="160"/>
      <c r="C918" s="160"/>
      <c r="E918" s="160"/>
      <c r="F918" s="160"/>
      <c r="H918" s="160"/>
      <c r="I918" s="160"/>
      <c r="K918" s="160"/>
      <c r="L918" s="160"/>
    </row>
    <row r="919" spans="2:12" x14ac:dyDescent="0.25">
      <c r="B919" s="160"/>
      <c r="C919" s="160"/>
      <c r="E919" s="160"/>
      <c r="F919" s="160"/>
      <c r="H919" s="160"/>
      <c r="I919" s="160"/>
      <c r="K919" s="160"/>
      <c r="L919" s="160"/>
    </row>
    <row r="920" spans="2:12" x14ac:dyDescent="0.25">
      <c r="B920" s="160"/>
      <c r="C920" s="160"/>
      <c r="E920" s="160"/>
      <c r="F920" s="160"/>
      <c r="H920" s="160"/>
      <c r="I920" s="160"/>
      <c r="K920" s="160"/>
      <c r="L920" s="160"/>
    </row>
    <row r="921" spans="2:12" x14ac:dyDescent="0.25">
      <c r="B921" s="160"/>
      <c r="C921" s="160"/>
      <c r="E921" s="160"/>
      <c r="F921" s="160"/>
      <c r="H921" s="160"/>
      <c r="I921" s="160"/>
      <c r="K921" s="160"/>
      <c r="L921" s="160"/>
    </row>
    <row r="922" spans="2:12" x14ac:dyDescent="0.25">
      <c r="B922" s="160"/>
      <c r="C922" s="160"/>
      <c r="E922" s="160"/>
      <c r="F922" s="160"/>
      <c r="H922" s="160"/>
      <c r="I922" s="160"/>
      <c r="K922" s="160"/>
      <c r="L922" s="160"/>
    </row>
    <row r="923" spans="2:12" x14ac:dyDescent="0.25">
      <c r="B923" s="160"/>
      <c r="C923" s="160"/>
      <c r="E923" s="160"/>
      <c r="F923" s="160"/>
      <c r="H923" s="160"/>
      <c r="I923" s="160"/>
      <c r="K923" s="160"/>
      <c r="L923" s="160"/>
    </row>
    <row r="924" spans="2:12" x14ac:dyDescent="0.25">
      <c r="B924" s="160"/>
      <c r="C924" s="160"/>
      <c r="E924" s="160"/>
      <c r="F924" s="160"/>
      <c r="H924" s="160"/>
      <c r="I924" s="160"/>
      <c r="K924" s="160"/>
      <c r="L924" s="160"/>
    </row>
    <row r="925" spans="2:12" x14ac:dyDescent="0.25">
      <c r="B925" s="160"/>
      <c r="C925" s="160"/>
      <c r="E925" s="160"/>
      <c r="F925" s="160"/>
      <c r="H925" s="160"/>
      <c r="I925" s="160"/>
      <c r="K925" s="160"/>
      <c r="L925" s="160"/>
    </row>
    <row r="926" spans="2:12" x14ac:dyDescent="0.25">
      <c r="B926" s="160"/>
      <c r="C926" s="160"/>
      <c r="E926" s="160"/>
      <c r="F926" s="160"/>
      <c r="H926" s="160"/>
      <c r="I926" s="160"/>
      <c r="K926" s="160"/>
      <c r="L926" s="160"/>
    </row>
    <row r="927" spans="2:12" x14ac:dyDescent="0.25">
      <c r="B927" s="160"/>
      <c r="C927" s="160"/>
      <c r="E927" s="160"/>
      <c r="F927" s="160"/>
      <c r="H927" s="160"/>
      <c r="I927" s="160"/>
      <c r="K927" s="160"/>
      <c r="L927" s="160"/>
    </row>
    <row r="928" spans="2:12" x14ac:dyDescent="0.25">
      <c r="B928" s="160"/>
      <c r="C928" s="160"/>
      <c r="E928" s="160"/>
      <c r="F928" s="160"/>
      <c r="H928" s="160"/>
      <c r="I928" s="160"/>
      <c r="K928" s="160"/>
      <c r="L928" s="160"/>
    </row>
    <row r="929" spans="2:12" x14ac:dyDescent="0.25">
      <c r="B929" s="160"/>
      <c r="C929" s="160"/>
      <c r="E929" s="160"/>
      <c r="F929" s="160"/>
      <c r="H929" s="160"/>
      <c r="I929" s="160"/>
      <c r="K929" s="160"/>
      <c r="L929" s="160"/>
    </row>
    <row r="930" spans="2:12" x14ac:dyDescent="0.25">
      <c r="B930" s="160"/>
      <c r="C930" s="160"/>
      <c r="E930" s="160"/>
      <c r="F930" s="160"/>
      <c r="H930" s="160"/>
      <c r="I930" s="160"/>
      <c r="K930" s="160"/>
      <c r="L930" s="160"/>
    </row>
    <row r="931" spans="2:12" x14ac:dyDescent="0.25">
      <c r="B931" s="160"/>
      <c r="C931" s="160"/>
      <c r="E931" s="160"/>
      <c r="F931" s="160"/>
      <c r="H931" s="160"/>
      <c r="I931" s="160"/>
      <c r="K931" s="160"/>
      <c r="L931" s="160"/>
    </row>
    <row r="932" spans="2:12" x14ac:dyDescent="0.25">
      <c r="B932" s="160"/>
      <c r="C932" s="160"/>
      <c r="E932" s="160"/>
      <c r="F932" s="160"/>
      <c r="H932" s="160"/>
      <c r="I932" s="160"/>
      <c r="K932" s="160"/>
      <c r="L932" s="160"/>
    </row>
    <row r="933" spans="2:12" x14ac:dyDescent="0.25">
      <c r="B933" s="160"/>
      <c r="C933" s="160"/>
      <c r="E933" s="160"/>
      <c r="F933" s="160"/>
      <c r="H933" s="160"/>
      <c r="I933" s="160"/>
      <c r="K933" s="160"/>
      <c r="L933" s="160"/>
    </row>
    <row r="934" spans="2:12" x14ac:dyDescent="0.25">
      <c r="B934" s="160"/>
      <c r="C934" s="160"/>
      <c r="E934" s="160"/>
      <c r="F934" s="160"/>
      <c r="H934" s="160"/>
      <c r="I934" s="160"/>
      <c r="K934" s="160"/>
      <c r="L934" s="160"/>
    </row>
    <row r="935" spans="2:12" x14ac:dyDescent="0.25">
      <c r="B935" s="160"/>
      <c r="C935" s="160"/>
      <c r="E935" s="160"/>
      <c r="F935" s="160"/>
      <c r="H935" s="160"/>
      <c r="I935" s="160"/>
      <c r="K935" s="160"/>
      <c r="L935" s="160"/>
    </row>
    <row r="936" spans="2:12" x14ac:dyDescent="0.25">
      <c r="B936" s="160"/>
      <c r="C936" s="160"/>
      <c r="E936" s="160"/>
      <c r="F936" s="160"/>
      <c r="H936" s="160"/>
      <c r="I936" s="160"/>
      <c r="K936" s="160"/>
      <c r="L936" s="160"/>
    </row>
    <row r="937" spans="2:12" x14ac:dyDescent="0.25">
      <c r="B937" s="160"/>
      <c r="C937" s="160"/>
      <c r="E937" s="160"/>
      <c r="F937" s="160"/>
      <c r="H937" s="160"/>
      <c r="I937" s="160"/>
      <c r="K937" s="160"/>
      <c r="L937" s="160"/>
    </row>
    <row r="938" spans="2:12" x14ac:dyDescent="0.25">
      <c r="B938" s="160"/>
      <c r="C938" s="160"/>
      <c r="E938" s="160"/>
      <c r="F938" s="160"/>
      <c r="H938" s="160"/>
      <c r="I938" s="160"/>
      <c r="K938" s="160"/>
      <c r="L938" s="160"/>
    </row>
    <row r="939" spans="2:12" x14ac:dyDescent="0.25">
      <c r="B939" s="160"/>
      <c r="C939" s="160"/>
      <c r="E939" s="160"/>
      <c r="F939" s="160"/>
      <c r="H939" s="160"/>
      <c r="I939" s="160"/>
      <c r="K939" s="160"/>
      <c r="L939" s="160"/>
    </row>
    <row r="940" spans="2:12" x14ac:dyDescent="0.25">
      <c r="B940" s="160"/>
      <c r="C940" s="160"/>
      <c r="E940" s="160"/>
      <c r="F940" s="160"/>
      <c r="H940" s="160"/>
      <c r="I940" s="160"/>
      <c r="K940" s="160"/>
      <c r="L940" s="160"/>
    </row>
    <row r="941" spans="2:12" x14ac:dyDescent="0.25">
      <c r="B941" s="160"/>
      <c r="C941" s="160"/>
      <c r="E941" s="160"/>
      <c r="F941" s="160"/>
      <c r="H941" s="160"/>
      <c r="I941" s="160"/>
      <c r="K941" s="160"/>
      <c r="L941" s="160"/>
    </row>
    <row r="942" spans="2:12" x14ac:dyDescent="0.25">
      <c r="B942" s="160"/>
      <c r="C942" s="160"/>
      <c r="E942" s="160"/>
      <c r="F942" s="160"/>
      <c r="H942" s="160"/>
      <c r="I942" s="160"/>
      <c r="K942" s="160"/>
      <c r="L942" s="160"/>
    </row>
    <row r="943" spans="2:12" x14ac:dyDescent="0.25">
      <c r="B943" s="160"/>
      <c r="C943" s="160"/>
      <c r="E943" s="160"/>
      <c r="F943" s="160"/>
      <c r="H943" s="160"/>
      <c r="I943" s="160"/>
      <c r="K943" s="160"/>
      <c r="L943" s="160"/>
    </row>
    <row r="944" spans="2:12" x14ac:dyDescent="0.25">
      <c r="B944" s="160"/>
      <c r="C944" s="160"/>
      <c r="E944" s="160"/>
      <c r="F944" s="160"/>
      <c r="H944" s="160"/>
      <c r="I944" s="160"/>
      <c r="K944" s="160"/>
      <c r="L944" s="160"/>
    </row>
    <row r="945" spans="2:12" x14ac:dyDescent="0.25">
      <c r="B945" s="160"/>
      <c r="C945" s="160"/>
      <c r="E945" s="160"/>
      <c r="F945" s="160"/>
      <c r="H945" s="160"/>
      <c r="I945" s="160"/>
      <c r="K945" s="160"/>
      <c r="L945" s="160"/>
    </row>
    <row r="946" spans="2:12" x14ac:dyDescent="0.25">
      <c r="B946" s="160"/>
      <c r="C946" s="160"/>
      <c r="E946" s="160"/>
      <c r="F946" s="160"/>
      <c r="H946" s="160"/>
      <c r="I946" s="160"/>
      <c r="K946" s="160"/>
      <c r="L946" s="160"/>
    </row>
    <row r="947" spans="2:12" x14ac:dyDescent="0.25">
      <c r="B947" s="160"/>
      <c r="C947" s="160"/>
      <c r="E947" s="160"/>
      <c r="F947" s="160"/>
      <c r="H947" s="160"/>
      <c r="I947" s="160"/>
      <c r="K947" s="160"/>
      <c r="L947" s="160"/>
    </row>
    <row r="948" spans="2:12" x14ac:dyDescent="0.25">
      <c r="B948" s="160"/>
      <c r="C948" s="160"/>
      <c r="E948" s="160"/>
      <c r="F948" s="160"/>
      <c r="H948" s="160"/>
      <c r="I948" s="160"/>
      <c r="K948" s="160"/>
      <c r="L948" s="160"/>
    </row>
    <row r="949" spans="2:12" x14ac:dyDescent="0.25">
      <c r="B949" s="160"/>
      <c r="C949" s="160"/>
      <c r="E949" s="160"/>
      <c r="F949" s="160"/>
      <c r="H949" s="160"/>
      <c r="I949" s="160"/>
      <c r="K949" s="160"/>
      <c r="L949" s="160"/>
    </row>
    <row r="950" spans="2:12" x14ac:dyDescent="0.25">
      <c r="B950" s="160"/>
      <c r="C950" s="160"/>
      <c r="E950" s="160"/>
      <c r="F950" s="160"/>
      <c r="H950" s="160"/>
      <c r="I950" s="160"/>
      <c r="K950" s="160"/>
      <c r="L950" s="160"/>
    </row>
    <row r="951" spans="2:12" x14ac:dyDescent="0.25">
      <c r="B951" s="160"/>
      <c r="C951" s="160"/>
      <c r="E951" s="160"/>
      <c r="F951" s="160"/>
      <c r="H951" s="160"/>
      <c r="I951" s="160"/>
      <c r="K951" s="160"/>
      <c r="L951" s="160"/>
    </row>
    <row r="952" spans="2:12" x14ac:dyDescent="0.25">
      <c r="B952" s="160"/>
      <c r="C952" s="160"/>
      <c r="E952" s="160"/>
      <c r="F952" s="160"/>
      <c r="H952" s="160"/>
      <c r="I952" s="160"/>
      <c r="K952" s="160"/>
      <c r="L952" s="160"/>
    </row>
    <row r="953" spans="2:12" x14ac:dyDescent="0.25">
      <c r="B953" s="160"/>
      <c r="C953" s="160"/>
      <c r="E953" s="160"/>
      <c r="F953" s="160"/>
      <c r="H953" s="160"/>
      <c r="I953" s="160"/>
      <c r="K953" s="160"/>
      <c r="L953" s="160"/>
    </row>
    <row r="954" spans="2:12" x14ac:dyDescent="0.25">
      <c r="B954" s="160"/>
      <c r="C954" s="160"/>
      <c r="E954" s="160"/>
      <c r="F954" s="160"/>
      <c r="H954" s="160"/>
      <c r="I954" s="160"/>
      <c r="K954" s="160"/>
      <c r="L954" s="160"/>
    </row>
    <row r="955" spans="2:12" x14ac:dyDescent="0.25">
      <c r="B955" s="160"/>
      <c r="C955" s="160"/>
      <c r="E955" s="160"/>
      <c r="F955" s="160"/>
      <c r="H955" s="160"/>
      <c r="I955" s="160"/>
      <c r="K955" s="160"/>
      <c r="L955" s="160"/>
    </row>
    <row r="956" spans="2:12" x14ac:dyDescent="0.25">
      <c r="B956" s="160"/>
      <c r="C956" s="160"/>
      <c r="E956" s="160"/>
      <c r="F956" s="160"/>
      <c r="H956" s="160"/>
      <c r="I956" s="160"/>
      <c r="K956" s="160"/>
      <c r="L956" s="160"/>
    </row>
    <row r="957" spans="2:12" x14ac:dyDescent="0.25">
      <c r="B957" s="160"/>
      <c r="C957" s="160"/>
      <c r="E957" s="160"/>
      <c r="F957" s="160"/>
      <c r="H957" s="160"/>
      <c r="I957" s="160"/>
      <c r="K957" s="160"/>
      <c r="L957" s="160"/>
    </row>
    <row r="958" spans="2:12" x14ac:dyDescent="0.25">
      <c r="B958" s="160"/>
      <c r="C958" s="160"/>
      <c r="E958" s="160"/>
      <c r="F958" s="160"/>
      <c r="H958" s="160"/>
      <c r="I958" s="160"/>
      <c r="K958" s="160"/>
      <c r="L958" s="160"/>
    </row>
    <row r="959" spans="2:12" x14ac:dyDescent="0.25">
      <c r="B959" s="160"/>
      <c r="C959" s="160"/>
      <c r="E959" s="160"/>
      <c r="F959" s="160"/>
      <c r="H959" s="160"/>
      <c r="I959" s="160"/>
      <c r="K959" s="160"/>
      <c r="L959" s="160"/>
    </row>
    <row r="960" spans="2:12" x14ac:dyDescent="0.25">
      <c r="B960" s="160"/>
      <c r="C960" s="160"/>
      <c r="E960" s="160"/>
      <c r="F960" s="160"/>
      <c r="H960" s="160"/>
      <c r="I960" s="160"/>
      <c r="K960" s="160"/>
      <c r="L960" s="160"/>
    </row>
    <row r="961" spans="2:12" x14ac:dyDescent="0.25">
      <c r="B961" s="160"/>
      <c r="C961" s="160"/>
      <c r="E961" s="160"/>
      <c r="F961" s="160"/>
      <c r="H961" s="160"/>
      <c r="I961" s="160"/>
      <c r="K961" s="160"/>
      <c r="L961" s="160"/>
    </row>
    <row r="962" spans="2:12" x14ac:dyDescent="0.25">
      <c r="B962" s="160"/>
      <c r="C962" s="160"/>
      <c r="E962" s="160"/>
      <c r="F962" s="160"/>
      <c r="H962" s="160"/>
      <c r="I962" s="160"/>
      <c r="K962" s="160"/>
      <c r="L962" s="160"/>
    </row>
    <row r="963" spans="2:12" x14ac:dyDescent="0.25">
      <c r="B963" s="160"/>
      <c r="C963" s="160"/>
      <c r="E963" s="160"/>
      <c r="F963" s="160"/>
      <c r="H963" s="160"/>
      <c r="I963" s="160"/>
      <c r="K963" s="160"/>
      <c r="L963" s="160"/>
    </row>
    <row r="964" spans="2:12" x14ac:dyDescent="0.25">
      <c r="B964" s="160"/>
      <c r="C964" s="160"/>
      <c r="E964" s="160"/>
      <c r="F964" s="160"/>
      <c r="H964" s="160"/>
      <c r="I964" s="160"/>
      <c r="K964" s="160"/>
      <c r="L964" s="160"/>
    </row>
    <row r="965" spans="2:12" x14ac:dyDescent="0.25">
      <c r="B965" s="160"/>
      <c r="C965" s="160"/>
      <c r="E965" s="160"/>
      <c r="F965" s="160"/>
      <c r="H965" s="160"/>
      <c r="I965" s="160"/>
      <c r="K965" s="160"/>
      <c r="L965" s="160"/>
    </row>
    <row r="966" spans="2:12" x14ac:dyDescent="0.25">
      <c r="B966" s="160"/>
      <c r="C966" s="160"/>
      <c r="E966" s="160"/>
      <c r="F966" s="160"/>
      <c r="H966" s="160"/>
      <c r="I966" s="160"/>
      <c r="K966" s="160"/>
      <c r="L966" s="160"/>
    </row>
    <row r="967" spans="2:12" x14ac:dyDescent="0.25">
      <c r="B967" s="160"/>
      <c r="C967" s="160"/>
      <c r="E967" s="160"/>
      <c r="F967" s="160"/>
      <c r="H967" s="160"/>
      <c r="I967" s="160"/>
      <c r="K967" s="160"/>
      <c r="L967" s="160"/>
    </row>
    <row r="968" spans="2:12" x14ac:dyDescent="0.25">
      <c r="B968" s="160"/>
      <c r="C968" s="160"/>
      <c r="E968" s="160"/>
      <c r="F968" s="160"/>
      <c r="H968" s="160"/>
      <c r="I968" s="160"/>
      <c r="K968" s="160"/>
      <c r="L968" s="160"/>
    </row>
    <row r="969" spans="2:12" x14ac:dyDescent="0.25">
      <c r="B969" s="160"/>
      <c r="C969" s="160"/>
      <c r="E969" s="160"/>
      <c r="F969" s="160"/>
      <c r="H969" s="160"/>
      <c r="I969" s="160"/>
      <c r="K969" s="160"/>
      <c r="L969" s="160"/>
    </row>
    <row r="970" spans="2:12" x14ac:dyDescent="0.25">
      <c r="B970" s="160"/>
      <c r="C970" s="160"/>
      <c r="E970" s="160"/>
      <c r="F970" s="160"/>
      <c r="H970" s="160"/>
      <c r="I970" s="160"/>
      <c r="K970" s="160"/>
      <c r="L970" s="160"/>
    </row>
    <row r="971" spans="2:12" x14ac:dyDescent="0.25">
      <c r="B971" s="160"/>
      <c r="C971" s="160"/>
      <c r="E971" s="160"/>
      <c r="F971" s="160"/>
      <c r="H971" s="160"/>
      <c r="I971" s="160"/>
      <c r="K971" s="160"/>
      <c r="L971" s="160"/>
    </row>
    <row r="972" spans="2:12" x14ac:dyDescent="0.25">
      <c r="B972" s="160"/>
      <c r="C972" s="160"/>
      <c r="E972" s="160"/>
      <c r="F972" s="160"/>
      <c r="H972" s="160"/>
      <c r="I972" s="160"/>
      <c r="K972" s="160"/>
      <c r="L972" s="160"/>
    </row>
    <row r="973" spans="2:12" x14ac:dyDescent="0.25">
      <c r="B973" s="160"/>
      <c r="C973" s="160"/>
      <c r="E973" s="160"/>
      <c r="F973" s="160"/>
      <c r="H973" s="160"/>
      <c r="I973" s="160"/>
      <c r="K973" s="160"/>
      <c r="L973" s="160"/>
    </row>
    <row r="974" spans="2:12" x14ac:dyDescent="0.25">
      <c r="B974" s="160"/>
      <c r="C974" s="160"/>
      <c r="E974" s="160"/>
      <c r="F974" s="160"/>
      <c r="H974" s="160"/>
      <c r="I974" s="160"/>
      <c r="K974" s="160"/>
      <c r="L974" s="160"/>
    </row>
    <row r="975" spans="2:12" x14ac:dyDescent="0.25">
      <c r="B975" s="160"/>
      <c r="C975" s="160"/>
      <c r="E975" s="160"/>
      <c r="F975" s="160"/>
      <c r="H975" s="160"/>
      <c r="I975" s="160"/>
      <c r="K975" s="160"/>
      <c r="L975" s="160"/>
    </row>
    <row r="976" spans="2:12" x14ac:dyDescent="0.25">
      <c r="B976" s="160"/>
      <c r="C976" s="160"/>
      <c r="E976" s="160"/>
      <c r="F976" s="160"/>
      <c r="H976" s="160"/>
      <c r="I976" s="160"/>
      <c r="K976" s="160"/>
      <c r="L976" s="160"/>
    </row>
    <row r="977" spans="2:12" x14ac:dyDescent="0.25">
      <c r="B977" s="160"/>
      <c r="C977" s="160"/>
      <c r="E977" s="160"/>
      <c r="F977" s="160"/>
      <c r="H977" s="160"/>
      <c r="I977" s="160"/>
      <c r="K977" s="160"/>
      <c r="L977" s="160"/>
    </row>
    <row r="978" spans="2:12" x14ac:dyDescent="0.25">
      <c r="B978" s="160"/>
      <c r="C978" s="160"/>
      <c r="E978" s="160"/>
      <c r="F978" s="160"/>
      <c r="H978" s="160"/>
      <c r="I978" s="160"/>
      <c r="K978" s="160"/>
      <c r="L978" s="160"/>
    </row>
    <row r="979" spans="2:12" x14ac:dyDescent="0.25">
      <c r="B979" s="160"/>
      <c r="C979" s="160"/>
      <c r="E979" s="160"/>
      <c r="F979" s="160"/>
      <c r="H979" s="160"/>
      <c r="I979" s="160"/>
      <c r="K979" s="160"/>
      <c r="L979" s="160"/>
    </row>
    <row r="980" spans="2:12" x14ac:dyDescent="0.25">
      <c r="B980" s="160"/>
      <c r="C980" s="160"/>
      <c r="E980" s="160"/>
      <c r="F980" s="160"/>
      <c r="H980" s="160"/>
      <c r="I980" s="160"/>
      <c r="K980" s="160"/>
      <c r="L980" s="160"/>
    </row>
    <row r="981" spans="2:12" x14ac:dyDescent="0.25">
      <c r="B981" s="160"/>
      <c r="C981" s="160"/>
      <c r="E981" s="160"/>
      <c r="F981" s="160"/>
      <c r="H981" s="160"/>
      <c r="I981" s="160"/>
      <c r="K981" s="160"/>
      <c r="L981" s="160"/>
    </row>
    <row r="982" spans="2:12" x14ac:dyDescent="0.25">
      <c r="B982" s="160"/>
      <c r="C982" s="160"/>
      <c r="E982" s="160"/>
      <c r="F982" s="160"/>
      <c r="H982" s="160"/>
      <c r="I982" s="160"/>
      <c r="K982" s="160"/>
      <c r="L982" s="160"/>
    </row>
    <row r="983" spans="2:12" x14ac:dyDescent="0.25">
      <c r="B983" s="160"/>
      <c r="C983" s="160"/>
      <c r="E983" s="160"/>
      <c r="F983" s="160"/>
      <c r="H983" s="160"/>
      <c r="I983" s="160"/>
      <c r="K983" s="160"/>
      <c r="L983" s="160"/>
    </row>
    <row r="984" spans="2:12" x14ac:dyDescent="0.25">
      <c r="B984" s="160"/>
      <c r="C984" s="160"/>
      <c r="E984" s="160"/>
      <c r="F984" s="160"/>
      <c r="H984" s="160"/>
      <c r="I984" s="160"/>
      <c r="K984" s="160"/>
      <c r="L984" s="160"/>
    </row>
    <row r="985" spans="2:12" x14ac:dyDescent="0.25">
      <c r="B985" s="160"/>
      <c r="C985" s="160"/>
      <c r="E985" s="160"/>
      <c r="F985" s="160"/>
      <c r="H985" s="160"/>
      <c r="I985" s="160"/>
      <c r="K985" s="160"/>
      <c r="L985" s="160"/>
    </row>
    <row r="986" spans="2:12" x14ac:dyDescent="0.25">
      <c r="B986" s="160"/>
      <c r="C986" s="160"/>
      <c r="E986" s="160"/>
      <c r="F986" s="160"/>
      <c r="H986" s="160"/>
      <c r="I986" s="160"/>
      <c r="K986" s="160"/>
      <c r="L986" s="160"/>
    </row>
    <row r="987" spans="2:12" x14ac:dyDescent="0.25">
      <c r="B987" s="160"/>
      <c r="C987" s="160"/>
      <c r="E987" s="160"/>
      <c r="F987" s="160"/>
      <c r="H987" s="160"/>
      <c r="I987" s="160"/>
      <c r="K987" s="160"/>
      <c r="L987" s="160"/>
    </row>
    <row r="988" spans="2:12" x14ac:dyDescent="0.25">
      <c r="B988" s="160"/>
      <c r="C988" s="160"/>
      <c r="E988" s="160"/>
      <c r="F988" s="160"/>
      <c r="H988" s="160"/>
      <c r="I988" s="160"/>
      <c r="K988" s="160"/>
      <c r="L988" s="160"/>
    </row>
    <row r="989" spans="2:12" x14ac:dyDescent="0.25">
      <c r="B989" s="160"/>
      <c r="C989" s="160"/>
      <c r="E989" s="160"/>
      <c r="F989" s="160"/>
      <c r="H989" s="160"/>
      <c r="I989" s="160"/>
      <c r="K989" s="160"/>
      <c r="L989" s="160"/>
    </row>
    <row r="990" spans="2:12" x14ac:dyDescent="0.25">
      <c r="B990" s="160"/>
      <c r="C990" s="160"/>
      <c r="E990" s="160"/>
      <c r="F990" s="160"/>
      <c r="H990" s="160"/>
      <c r="I990" s="160"/>
      <c r="K990" s="160"/>
      <c r="L990" s="160"/>
    </row>
    <row r="991" spans="2:12" x14ac:dyDescent="0.25">
      <c r="B991" s="160"/>
      <c r="C991" s="160"/>
      <c r="E991" s="160"/>
      <c r="F991" s="160"/>
      <c r="H991" s="160"/>
      <c r="I991" s="160"/>
      <c r="K991" s="160"/>
      <c r="L991" s="160"/>
    </row>
    <row r="992" spans="2:12" x14ac:dyDescent="0.25">
      <c r="B992" s="160"/>
      <c r="C992" s="160"/>
      <c r="E992" s="160"/>
      <c r="F992" s="160"/>
      <c r="H992" s="160"/>
      <c r="I992" s="160"/>
      <c r="K992" s="160"/>
      <c r="L992" s="160"/>
    </row>
    <row r="993" spans="2:12" x14ac:dyDescent="0.25">
      <c r="B993" s="160"/>
      <c r="C993" s="160"/>
      <c r="E993" s="160"/>
      <c r="F993" s="160"/>
      <c r="H993" s="160"/>
      <c r="I993" s="160"/>
      <c r="K993" s="160"/>
      <c r="L993" s="160"/>
    </row>
    <row r="994" spans="2:12" x14ac:dyDescent="0.25">
      <c r="B994" s="160"/>
      <c r="C994" s="160"/>
      <c r="E994" s="160"/>
      <c r="F994" s="160"/>
      <c r="H994" s="160"/>
      <c r="I994" s="160"/>
      <c r="K994" s="160"/>
      <c r="L994" s="160"/>
    </row>
    <row r="995" spans="2:12" x14ac:dyDescent="0.25">
      <c r="B995" s="160"/>
      <c r="C995" s="160"/>
      <c r="E995" s="160"/>
      <c r="F995" s="160"/>
      <c r="H995" s="160"/>
      <c r="I995" s="160"/>
      <c r="K995" s="160"/>
      <c r="L995" s="160"/>
    </row>
    <row r="996" spans="2:12" x14ac:dyDescent="0.25">
      <c r="B996" s="160"/>
      <c r="C996" s="160"/>
      <c r="E996" s="160"/>
      <c r="F996" s="160"/>
      <c r="H996" s="160"/>
      <c r="I996" s="160"/>
      <c r="K996" s="160"/>
      <c r="L996" s="160"/>
    </row>
    <row r="997" spans="2:12" x14ac:dyDescent="0.25">
      <c r="B997" s="160"/>
      <c r="C997" s="160"/>
      <c r="E997" s="160"/>
      <c r="F997" s="160"/>
      <c r="H997" s="160"/>
      <c r="I997" s="160"/>
      <c r="K997" s="160"/>
      <c r="L997" s="160"/>
    </row>
    <row r="998" spans="2:12" x14ac:dyDescent="0.25">
      <c r="B998" s="160"/>
      <c r="C998" s="160"/>
      <c r="E998" s="160"/>
      <c r="F998" s="160"/>
      <c r="H998" s="160"/>
      <c r="I998" s="160"/>
      <c r="K998" s="160"/>
      <c r="L998" s="160"/>
    </row>
    <row r="999" spans="2:12" x14ac:dyDescent="0.25">
      <c r="B999" s="160"/>
      <c r="C999" s="160"/>
      <c r="E999" s="160"/>
      <c r="F999" s="160"/>
      <c r="H999" s="160"/>
      <c r="I999" s="160"/>
      <c r="K999" s="160"/>
      <c r="L999" s="160"/>
    </row>
    <row r="1000" spans="2:12" x14ac:dyDescent="0.25">
      <c r="B1000" s="160"/>
      <c r="C1000" s="160"/>
      <c r="E1000" s="160"/>
      <c r="F1000" s="160"/>
      <c r="H1000" s="160"/>
      <c r="I1000" s="160"/>
      <c r="K1000" s="160"/>
      <c r="L1000" s="160"/>
    </row>
    <row r="1001" spans="2:12" x14ac:dyDescent="0.25">
      <c r="K1001" s="77"/>
      <c r="L1001" s="77"/>
    </row>
  </sheetData>
  <sheetProtection algorithmName="SHA-512" hashValue="d54saw7rC535ukbaJQ40qCP8yfl1gFsGdgHwL6XnJpZIMAozJMZMQQ7mwv4e+b33cXZOHkm75kCUA8pEOtQ/dQ==" saltValue="gqs4pBYw2gd3P6/pVmEoVQ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30" x14ac:dyDescent="0.25">
      <c r="B2" s="75" t="s">
        <v>801</v>
      </c>
      <c r="C2" s="80"/>
      <c r="D2" s="80"/>
      <c r="E2" s="80"/>
      <c r="F2" s="80"/>
    </row>
    <row r="3" spans="2:6" x14ac:dyDescent="0.25">
      <c r="B3" s="80"/>
      <c r="C3" s="74">
        <v>2020</v>
      </c>
      <c r="D3" s="74">
        <v>2019</v>
      </c>
      <c r="E3" s="74">
        <v>2018</v>
      </c>
      <c r="F3" s="74">
        <v>2017</v>
      </c>
    </row>
    <row r="4" spans="2:6" x14ac:dyDescent="0.25">
      <c r="B4" s="27" t="s">
        <v>0</v>
      </c>
      <c r="C4" s="84">
        <v>16211227.83446</v>
      </c>
      <c r="D4" s="84">
        <v>15440529.147740003</v>
      </c>
      <c r="E4" s="84">
        <v>15019423.07732</v>
      </c>
      <c r="F4" s="84">
        <v>14859091.492390001</v>
      </c>
    </row>
    <row r="5" spans="2:6" x14ac:dyDescent="0.25">
      <c r="B5" s="27" t="s">
        <v>1</v>
      </c>
      <c r="C5" s="84">
        <v>3243561.3132499997</v>
      </c>
      <c r="D5" s="84">
        <v>3078903.7737900005</v>
      </c>
      <c r="E5" s="84">
        <v>2924637.8409099998</v>
      </c>
      <c r="F5" s="84">
        <v>2867964.5285599995</v>
      </c>
    </row>
    <row r="6" spans="2:6" x14ac:dyDescent="0.25">
      <c r="B6" s="27" t="s">
        <v>2</v>
      </c>
      <c r="C6" s="84">
        <v>5051640.0304300003</v>
      </c>
      <c r="D6" s="84">
        <v>4758239.39188</v>
      </c>
      <c r="E6" s="84">
        <v>4697587.5527499998</v>
      </c>
      <c r="F6" s="84">
        <v>4402201.3127099993</v>
      </c>
    </row>
    <row r="7" spans="2:6" x14ac:dyDescent="0.25">
      <c r="B7" s="27" t="s">
        <v>3</v>
      </c>
      <c r="C7" s="84">
        <v>21296.715129999997</v>
      </c>
      <c r="D7" s="84">
        <v>15498.947230000002</v>
      </c>
      <c r="E7" s="84">
        <v>13721.00201</v>
      </c>
      <c r="F7" s="84">
        <v>13914.872089999999</v>
      </c>
    </row>
    <row r="8" spans="2:6" x14ac:dyDescent="0.25">
      <c r="B8" s="27" t="s">
        <v>4</v>
      </c>
      <c r="C8" s="84">
        <v>0</v>
      </c>
      <c r="D8" s="84">
        <v>0</v>
      </c>
      <c r="E8" s="84">
        <v>0</v>
      </c>
      <c r="F8" s="84">
        <v>0</v>
      </c>
    </row>
    <row r="9" spans="2:6" x14ac:dyDescent="0.25">
      <c r="B9" s="27" t="s">
        <v>5</v>
      </c>
      <c r="C9" s="84">
        <v>-4876669.2506500008</v>
      </c>
      <c r="D9" s="84">
        <v>-4728062.2674199995</v>
      </c>
      <c r="E9" s="84">
        <v>-4592222.7942199996</v>
      </c>
      <c r="F9" s="84">
        <v>-4140152.19979</v>
      </c>
    </row>
    <row r="10" spans="2:6" x14ac:dyDescent="0.25">
      <c r="B10" s="27" t="s">
        <v>6</v>
      </c>
      <c r="C10" s="84">
        <v>0</v>
      </c>
      <c r="D10" s="84">
        <v>0</v>
      </c>
      <c r="E10" s="84">
        <v>0</v>
      </c>
      <c r="F10" s="84">
        <v>0</v>
      </c>
    </row>
    <row r="11" spans="2:6" x14ac:dyDescent="0.25">
      <c r="B11" s="27" t="s">
        <v>7</v>
      </c>
      <c r="C11" s="84">
        <v>0</v>
      </c>
      <c r="D11" s="84">
        <v>0</v>
      </c>
      <c r="E11" s="84">
        <v>0</v>
      </c>
      <c r="F11" s="84">
        <v>0</v>
      </c>
    </row>
    <row r="12" spans="2:6" x14ac:dyDescent="0.25">
      <c r="B12" s="74" t="s">
        <v>8</v>
      </c>
      <c r="C12" s="76">
        <v>19651056.642620001</v>
      </c>
      <c r="D12" s="76">
        <v>18565108.993219998</v>
      </c>
      <c r="E12" s="76">
        <v>18063146.678770002</v>
      </c>
      <c r="F12" s="76">
        <v>18003020.005960003</v>
      </c>
    </row>
    <row r="13" spans="2:6" x14ac:dyDescent="0.25">
      <c r="C13" s="7"/>
      <c r="D13" s="7"/>
      <c r="E13" s="7"/>
      <c r="F13" s="7"/>
    </row>
    <row r="14" spans="2:6" ht="45" x14ac:dyDescent="0.25">
      <c r="B14" s="75" t="s">
        <v>802</v>
      </c>
      <c r="C14" s="76"/>
      <c r="D14" s="76"/>
      <c r="E14" s="76"/>
      <c r="F14" s="76"/>
    </row>
    <row r="15" spans="2:6" x14ac:dyDescent="0.25">
      <c r="B15" s="80"/>
      <c r="C15" s="78">
        <v>2020</v>
      </c>
      <c r="D15" s="78">
        <v>2019</v>
      </c>
      <c r="E15" s="78">
        <v>2018</v>
      </c>
      <c r="F15" s="78">
        <v>2017</v>
      </c>
    </row>
    <row r="16" spans="2:6" x14ac:dyDescent="0.25">
      <c r="B16" s="27" t="s">
        <v>0</v>
      </c>
      <c r="C16" s="84">
        <v>1912969.0937943822</v>
      </c>
      <c r="D16" s="84">
        <v>1592794.1479926216</v>
      </c>
      <c r="E16" s="84">
        <v>976043.56545843708</v>
      </c>
      <c r="F16" s="84">
        <v>854298.49181829614</v>
      </c>
    </row>
    <row r="17" spans="2:7" x14ac:dyDescent="0.25">
      <c r="B17" s="27" t="s">
        <v>1</v>
      </c>
      <c r="C17" s="84">
        <v>5984952.6226166468</v>
      </c>
      <c r="D17" s="84">
        <v>3841595.5167700234</v>
      </c>
      <c r="E17" s="84">
        <v>580383.46597623883</v>
      </c>
      <c r="F17" s="84">
        <v>495417.07515851728</v>
      </c>
    </row>
    <row r="18" spans="2:7" x14ac:dyDescent="0.25">
      <c r="B18" s="27" t="s">
        <v>2</v>
      </c>
      <c r="C18" s="84">
        <v>339205.91063767974</v>
      </c>
      <c r="D18" s="84">
        <v>-395002.12349305674</v>
      </c>
      <c r="E18" s="84">
        <v>2757068.2572175981</v>
      </c>
      <c r="F18" s="84">
        <v>2917067.1819205713</v>
      </c>
    </row>
    <row r="19" spans="2:7" x14ac:dyDescent="0.25">
      <c r="B19" s="27" t="s">
        <v>3</v>
      </c>
      <c r="C19" s="84">
        <v>210758.34342274957</v>
      </c>
      <c r="D19" s="84">
        <v>173907.92178050702</v>
      </c>
      <c r="E19" s="84">
        <v>200509.66037575438</v>
      </c>
      <c r="F19" s="84">
        <v>180023.59706569157</v>
      </c>
    </row>
    <row r="20" spans="2:7" x14ac:dyDescent="0.25">
      <c r="B20" s="27" t="s">
        <v>4</v>
      </c>
      <c r="C20" s="84">
        <v>-401845.14968196832</v>
      </c>
      <c r="D20" s="84">
        <v>0</v>
      </c>
      <c r="E20" s="84">
        <v>0</v>
      </c>
      <c r="F20" s="84">
        <v>0</v>
      </c>
    </row>
    <row r="21" spans="2:7" x14ac:dyDescent="0.25">
      <c r="B21" s="27" t="s">
        <v>5</v>
      </c>
      <c r="C21" s="84">
        <v>-185033.35514255075</v>
      </c>
      <c r="D21" s="84">
        <v>-455880.70677653188</v>
      </c>
      <c r="E21" s="84">
        <v>-498180.6385188956</v>
      </c>
      <c r="F21" s="84">
        <v>-423189.14567544626</v>
      </c>
    </row>
    <row r="22" spans="2:7" x14ac:dyDescent="0.25">
      <c r="B22" s="26" t="s">
        <v>6</v>
      </c>
      <c r="C22" s="83">
        <v>-1974659.371630057</v>
      </c>
      <c r="D22" s="83">
        <v>0</v>
      </c>
      <c r="E22" s="83">
        <v>-1371.6678949041443</v>
      </c>
      <c r="F22" s="83">
        <v>0</v>
      </c>
    </row>
    <row r="23" spans="2:7" x14ac:dyDescent="0.25">
      <c r="B23" s="27" t="s">
        <v>7</v>
      </c>
      <c r="C23" s="84">
        <v>0</v>
      </c>
      <c r="D23" s="84">
        <v>0</v>
      </c>
      <c r="E23" s="84">
        <v>0</v>
      </c>
      <c r="F23" s="84">
        <v>0</v>
      </c>
    </row>
    <row r="24" spans="2:7" x14ac:dyDescent="0.25">
      <c r="B24" s="75" t="s">
        <v>8</v>
      </c>
      <c r="C24" s="76">
        <v>5886348.0940168807</v>
      </c>
      <c r="D24" s="76">
        <v>4757414.756273564</v>
      </c>
      <c r="E24" s="76">
        <v>4014452.6426142287</v>
      </c>
      <c r="F24" s="76">
        <v>4023617.2002876299</v>
      </c>
    </row>
    <row r="25" spans="2:7" x14ac:dyDescent="0.25">
      <c r="C25" s="3"/>
      <c r="D25" s="3"/>
      <c r="E25" s="3"/>
      <c r="F25" s="3"/>
    </row>
    <row r="26" spans="2:7" x14ac:dyDescent="0.25">
      <c r="B26" s="75" t="s">
        <v>798</v>
      </c>
      <c r="C26" s="76"/>
      <c r="D26" s="76"/>
      <c r="E26" s="76"/>
      <c r="F26" s="76"/>
    </row>
    <row r="27" spans="2:7" x14ac:dyDescent="0.25">
      <c r="B27" s="80"/>
      <c r="C27" s="78">
        <v>2020</v>
      </c>
      <c r="D27" s="78">
        <v>2019</v>
      </c>
      <c r="E27" s="78">
        <v>2018</v>
      </c>
      <c r="F27" s="78">
        <v>2017</v>
      </c>
      <c r="G27" s="21"/>
    </row>
    <row r="28" spans="2:7" x14ac:dyDescent="0.25">
      <c r="B28" s="27" t="s">
        <v>15</v>
      </c>
      <c r="C28" s="84">
        <v>1051685.6458395305</v>
      </c>
      <c r="D28" s="84">
        <v>713814.02746709506</v>
      </c>
      <c r="E28" s="84">
        <v>780476.646900194</v>
      </c>
      <c r="F28" s="84">
        <v>634258.53957841778</v>
      </c>
    </row>
    <row r="29" spans="2:7" x14ac:dyDescent="0.25">
      <c r="B29" s="27" t="s">
        <v>754</v>
      </c>
      <c r="C29" s="84">
        <v>0</v>
      </c>
      <c r="D29" s="84">
        <v>1610878.240143091</v>
      </c>
      <c r="E29" s="84">
        <v>2159711.2287122235</v>
      </c>
      <c r="F29" s="84">
        <v>2025210.6508922635</v>
      </c>
    </row>
    <row r="30" spans="2:7" x14ac:dyDescent="0.25">
      <c r="B30" s="27" t="s">
        <v>16</v>
      </c>
      <c r="C30" s="84">
        <v>0</v>
      </c>
      <c r="D30" s="84">
        <v>0</v>
      </c>
      <c r="E30" s="84">
        <v>0</v>
      </c>
      <c r="F30" s="84">
        <v>0</v>
      </c>
    </row>
    <row r="31" spans="2:7" x14ac:dyDescent="0.25">
      <c r="B31" s="27" t="s">
        <v>755</v>
      </c>
      <c r="C31" s="84">
        <v>224499.81186144397</v>
      </c>
      <c r="D31" s="84">
        <v>0</v>
      </c>
      <c r="E31" s="84">
        <v>0</v>
      </c>
      <c r="F31" s="84">
        <v>0</v>
      </c>
    </row>
    <row r="32" spans="2:7" x14ac:dyDescent="0.25">
      <c r="B32" s="26" t="s">
        <v>756</v>
      </c>
      <c r="C32" s="83">
        <v>0</v>
      </c>
      <c r="D32" s="83">
        <v>0</v>
      </c>
      <c r="E32" s="83">
        <v>0</v>
      </c>
      <c r="F32" s="83">
        <v>0</v>
      </c>
    </row>
    <row r="33" spans="2:6" x14ac:dyDescent="0.25">
      <c r="B33" s="80" t="s">
        <v>8</v>
      </c>
      <c r="C33" s="81">
        <v>1276185.4577009745</v>
      </c>
      <c r="D33" s="81">
        <v>2324692.2676101858</v>
      </c>
      <c r="E33" s="81">
        <v>2940187.8756124172</v>
      </c>
      <c r="F33" s="81">
        <v>2659469.1904706811</v>
      </c>
    </row>
    <row r="34" spans="2:6" x14ac:dyDescent="0.25">
      <c r="B34" s="75"/>
      <c r="C34" s="76"/>
      <c r="D34" s="76"/>
      <c r="E34" s="76"/>
      <c r="F34" s="76"/>
    </row>
    <row r="35" spans="2:6" ht="30" x14ac:dyDescent="0.25">
      <c r="B35" s="88" t="s">
        <v>33</v>
      </c>
      <c r="C35" s="74"/>
      <c r="D35" s="74"/>
      <c r="E35" s="74"/>
      <c r="F35" s="74"/>
    </row>
    <row r="36" spans="2:6" x14ac:dyDescent="0.25">
      <c r="B36" s="75"/>
      <c r="C36" s="89">
        <v>2020</v>
      </c>
      <c r="D36" s="89">
        <v>2019</v>
      </c>
      <c r="E36" s="89">
        <v>2018</v>
      </c>
      <c r="F36" s="89">
        <v>2017</v>
      </c>
    </row>
    <row r="37" spans="2:6" x14ac:dyDescent="0.25">
      <c r="B37" s="27" t="s">
        <v>17</v>
      </c>
      <c r="C37" s="83">
        <v>0</v>
      </c>
      <c r="D37" s="83">
        <v>0</v>
      </c>
      <c r="E37" s="83">
        <v>0</v>
      </c>
      <c r="F37" s="83">
        <v>0</v>
      </c>
    </row>
    <row r="38" spans="2:6" x14ac:dyDescent="0.25">
      <c r="B38" s="27" t="s">
        <v>18</v>
      </c>
      <c r="C38" s="84">
        <v>0</v>
      </c>
      <c r="D38" s="84">
        <v>0</v>
      </c>
      <c r="E38" s="84">
        <v>0</v>
      </c>
      <c r="F38" s="84">
        <v>0</v>
      </c>
    </row>
    <row r="39" spans="2:6" x14ac:dyDescent="0.25">
      <c r="B39" s="27" t="s">
        <v>19</v>
      </c>
      <c r="C39" s="84">
        <v>0</v>
      </c>
      <c r="D39" s="84">
        <v>0</v>
      </c>
      <c r="E39" s="84">
        <v>0</v>
      </c>
      <c r="F39" s="84">
        <v>0</v>
      </c>
    </row>
    <row r="40" spans="2:6" x14ac:dyDescent="0.25">
      <c r="B40" s="74" t="s">
        <v>8</v>
      </c>
      <c r="C40" s="76">
        <v>0</v>
      </c>
      <c r="D40" s="76">
        <v>0</v>
      </c>
      <c r="E40" s="76">
        <v>0</v>
      </c>
      <c r="F40" s="76">
        <v>0</v>
      </c>
    </row>
    <row r="41" spans="2:6" x14ac:dyDescent="0.25">
      <c r="B41" s="88"/>
      <c r="C41" s="81"/>
      <c r="D41" s="81"/>
      <c r="E41" s="81"/>
      <c r="F41" s="81"/>
    </row>
    <row r="42" spans="2:6" x14ac:dyDescent="0.25">
      <c r="B42" s="75" t="s">
        <v>34</v>
      </c>
      <c r="C42" s="89"/>
      <c r="D42" s="89"/>
      <c r="E42" s="89"/>
      <c r="F42" s="89"/>
    </row>
    <row r="43" spans="2:6" x14ac:dyDescent="0.25">
      <c r="B43" s="80"/>
      <c r="C43" s="89">
        <v>2020</v>
      </c>
      <c r="D43" s="89">
        <v>2019</v>
      </c>
      <c r="E43" s="89">
        <v>2018</v>
      </c>
      <c r="F43" s="89">
        <v>2017</v>
      </c>
    </row>
    <row r="44" spans="2:6" x14ac:dyDescent="0.25">
      <c r="B44" s="29" t="s">
        <v>20</v>
      </c>
      <c r="C44" s="83">
        <v>0</v>
      </c>
      <c r="D44" s="83">
        <v>0</v>
      </c>
      <c r="E44" s="83">
        <v>0</v>
      </c>
      <c r="F44" s="83">
        <v>0</v>
      </c>
    </row>
    <row r="45" spans="2:6" x14ac:dyDescent="0.25">
      <c r="B45" s="27" t="s">
        <v>51</v>
      </c>
      <c r="C45" s="103">
        <v>337312.53585554712</v>
      </c>
      <c r="D45" s="103">
        <v>337993.76799110707</v>
      </c>
      <c r="E45" s="103">
        <v>450131.71470799565</v>
      </c>
      <c r="F45" s="103">
        <v>380028.91777</v>
      </c>
    </row>
    <row r="46" spans="2:6" x14ac:dyDescent="0.25">
      <c r="B46" s="27" t="s">
        <v>21</v>
      </c>
      <c r="C46" s="84">
        <v>124326.96601</v>
      </c>
      <c r="D46" s="84">
        <v>125375.43410999999</v>
      </c>
      <c r="E46" s="84">
        <v>125528.67324999999</v>
      </c>
      <c r="F46" s="84">
        <v>126872.70298</v>
      </c>
    </row>
    <row r="47" spans="2:6" x14ac:dyDescent="0.25">
      <c r="B47" s="74" t="s">
        <v>8</v>
      </c>
      <c r="C47" s="76">
        <v>461639.50186554715</v>
      </c>
      <c r="D47" s="76">
        <v>463369.20210110705</v>
      </c>
      <c r="E47" s="76">
        <v>575660.38795799564</v>
      </c>
      <c r="F47" s="76">
        <v>506901.62075</v>
      </c>
    </row>
    <row r="48" spans="2:6" x14ac:dyDescent="0.25">
      <c r="B48" s="88"/>
      <c r="C48" s="81"/>
      <c r="D48" s="81"/>
      <c r="E48" s="81"/>
      <c r="F48" s="81"/>
    </row>
    <row r="49" spans="2:7" x14ac:dyDescent="0.25">
      <c r="B49" s="75" t="s">
        <v>35</v>
      </c>
      <c r="C49" s="89"/>
      <c r="D49" s="89"/>
      <c r="E49" s="89"/>
      <c r="F49" s="89"/>
    </row>
    <row r="50" spans="2:7" x14ac:dyDescent="0.25">
      <c r="B50" s="74"/>
      <c r="C50" s="256">
        <v>2020</v>
      </c>
      <c r="D50" s="256">
        <v>2019</v>
      </c>
      <c r="E50" s="256">
        <v>2018</v>
      </c>
      <c r="F50" s="256">
        <v>2017</v>
      </c>
      <c r="G50" s="21"/>
    </row>
    <row r="51" spans="2:7" x14ac:dyDescent="0.25">
      <c r="B51" s="27" t="s">
        <v>49</v>
      </c>
      <c r="C51" s="84">
        <v>2008.0246980942954</v>
      </c>
      <c r="D51" s="84">
        <v>2155.9253513403642</v>
      </c>
      <c r="E51" s="84">
        <v>2186.1968815046898</v>
      </c>
      <c r="F51" s="84">
        <v>1810.40354134172</v>
      </c>
    </row>
    <row r="52" spans="2:7" x14ac:dyDescent="0.25">
      <c r="B52" s="29" t="s">
        <v>759</v>
      </c>
      <c r="C52" s="83">
        <v>306823.45120190975</v>
      </c>
      <c r="D52" s="83">
        <v>306405.35555185878</v>
      </c>
      <c r="E52" s="83">
        <v>312657.79700195359</v>
      </c>
      <c r="F52" s="83">
        <v>311490.83667211945</v>
      </c>
    </row>
    <row r="53" spans="2:7" x14ac:dyDescent="0.25">
      <c r="B53" s="27" t="s">
        <v>760</v>
      </c>
      <c r="C53" s="83">
        <v>0</v>
      </c>
      <c r="D53" s="83">
        <v>0</v>
      </c>
      <c r="E53" s="83">
        <v>0</v>
      </c>
      <c r="F53" s="83">
        <v>3069.9592120914399</v>
      </c>
    </row>
    <row r="54" spans="2:7" x14ac:dyDescent="0.25">
      <c r="B54" s="27" t="s">
        <v>761</v>
      </c>
      <c r="C54" s="84">
        <v>0</v>
      </c>
      <c r="D54" s="84">
        <v>0</v>
      </c>
      <c r="E54" s="84">
        <v>0</v>
      </c>
      <c r="F54" s="84">
        <v>0</v>
      </c>
    </row>
    <row r="55" spans="2:7" x14ac:dyDescent="0.25">
      <c r="B55" s="27" t="s">
        <v>762</v>
      </c>
      <c r="C55" s="84">
        <v>34087.593570000005</v>
      </c>
      <c r="D55" s="84">
        <v>39636.291209999996</v>
      </c>
      <c r="E55" s="84">
        <v>39245.497000000003</v>
      </c>
      <c r="F55" s="84">
        <v>38025.186600000001</v>
      </c>
    </row>
    <row r="56" spans="2:7" x14ac:dyDescent="0.25">
      <c r="B56" s="27" t="s">
        <v>763</v>
      </c>
      <c r="C56" s="84">
        <v>31222.43878</v>
      </c>
      <c r="D56" s="84">
        <v>37758.941469999998</v>
      </c>
      <c r="E56" s="84">
        <v>33480.059569999998</v>
      </c>
      <c r="F56" s="84">
        <v>33937.413940000006</v>
      </c>
    </row>
    <row r="57" spans="2:7" x14ac:dyDescent="0.25">
      <c r="B57" s="26" t="s">
        <v>764</v>
      </c>
      <c r="C57" s="83">
        <v>0</v>
      </c>
      <c r="D57" s="83">
        <v>0</v>
      </c>
      <c r="E57" s="83">
        <v>0</v>
      </c>
      <c r="F57" s="83">
        <v>0</v>
      </c>
    </row>
    <row r="58" spans="2:7" x14ac:dyDescent="0.25">
      <c r="B58" s="27" t="s">
        <v>765</v>
      </c>
      <c r="C58" s="84">
        <v>7707.3918923855172</v>
      </c>
      <c r="D58" s="84">
        <v>7915.0790541143751</v>
      </c>
      <c r="E58" s="84">
        <v>35365.9165004307</v>
      </c>
      <c r="F58" s="84">
        <v>35123.758858751899</v>
      </c>
    </row>
    <row r="59" spans="2:7" x14ac:dyDescent="0.25">
      <c r="B59" s="29" t="s">
        <v>766</v>
      </c>
      <c r="C59" s="83">
        <v>16893.2274</v>
      </c>
      <c r="D59" s="83">
        <v>13735.92541</v>
      </c>
      <c r="E59" s="83">
        <v>11368.731957256001</v>
      </c>
      <c r="F59" s="83">
        <v>12573.436527252499</v>
      </c>
    </row>
    <row r="60" spans="2:7" x14ac:dyDescent="0.25">
      <c r="B60" s="27" t="s">
        <v>767</v>
      </c>
      <c r="C60" s="83">
        <v>14615.997972816933</v>
      </c>
      <c r="D60" s="83">
        <v>14776.069015938037</v>
      </c>
      <c r="E60" s="83">
        <v>13731.035889446201</v>
      </c>
      <c r="F60" s="83">
        <v>1893.4292270107501</v>
      </c>
    </row>
    <row r="61" spans="2:7" x14ac:dyDescent="0.25">
      <c r="B61" s="27" t="s">
        <v>768</v>
      </c>
      <c r="C61" s="84">
        <v>309683.01980860543</v>
      </c>
      <c r="D61" s="84">
        <v>295828.84330481704</v>
      </c>
      <c r="E61" s="84">
        <v>372253.19388828933</v>
      </c>
      <c r="F61" s="84">
        <v>258796.97068459232</v>
      </c>
    </row>
    <row r="62" spans="2:7" x14ac:dyDescent="0.25">
      <c r="B62" s="27" t="s">
        <v>769</v>
      </c>
      <c r="C62" s="84">
        <v>0</v>
      </c>
      <c r="D62" s="84">
        <v>0</v>
      </c>
      <c r="E62" s="84">
        <v>0</v>
      </c>
      <c r="F62" s="84">
        <v>0</v>
      </c>
    </row>
    <row r="63" spans="2:7" x14ac:dyDescent="0.25">
      <c r="B63" s="27" t="s">
        <v>770</v>
      </c>
      <c r="C63" s="84">
        <v>0</v>
      </c>
      <c r="D63" s="84">
        <v>0</v>
      </c>
      <c r="E63" s="84">
        <v>0</v>
      </c>
      <c r="F63" s="84">
        <v>0</v>
      </c>
    </row>
    <row r="64" spans="2:7" x14ac:dyDescent="0.25">
      <c r="B64" s="27" t="s">
        <v>771</v>
      </c>
      <c r="C64" s="84">
        <v>312861.51611999999</v>
      </c>
      <c r="D64" s="84">
        <v>361539.72863999999</v>
      </c>
      <c r="E64" s="84">
        <v>380693.12836999999</v>
      </c>
      <c r="F64" s="84">
        <v>391045.21833</v>
      </c>
    </row>
    <row r="65" spans="2:6" x14ac:dyDescent="0.25">
      <c r="B65" s="27" t="s">
        <v>772</v>
      </c>
      <c r="C65" s="84">
        <v>-38386.572760000003</v>
      </c>
      <c r="D65" s="84">
        <v>-60621.45132</v>
      </c>
      <c r="E65" s="84">
        <v>-67243.265061107595</v>
      </c>
      <c r="F65" s="84">
        <v>-61261.614553059298</v>
      </c>
    </row>
    <row r="66" spans="2:6" x14ac:dyDescent="0.25">
      <c r="B66" s="27" t="s">
        <v>773</v>
      </c>
      <c r="C66" s="84">
        <v>-77752.930999999997</v>
      </c>
      <c r="D66" s="84">
        <v>-115402.81434</v>
      </c>
      <c r="E66" s="84">
        <v>-133845.11206000001</v>
      </c>
      <c r="F66" s="84">
        <v>-135626.57491</v>
      </c>
    </row>
    <row r="67" spans="2:6" x14ac:dyDescent="0.25">
      <c r="B67" s="27" t="s">
        <v>774</v>
      </c>
      <c r="C67" s="84">
        <v>-2872647.21532</v>
      </c>
      <c r="D67" s="84">
        <v>-2678794.8964500003</v>
      </c>
      <c r="E67" s="84">
        <v>-2806077.1173200002</v>
      </c>
      <c r="F67" s="84">
        <v>-2476973.8193100002</v>
      </c>
    </row>
    <row r="68" spans="2:6" x14ac:dyDescent="0.25">
      <c r="B68" s="27" t="s">
        <v>775</v>
      </c>
      <c r="C68" s="84">
        <v>601497.09708999994</v>
      </c>
      <c r="D68" s="84">
        <v>614192.92533999984</v>
      </c>
      <c r="E68" s="84">
        <v>561687.97892999987</v>
      </c>
      <c r="F68" s="84">
        <v>562364.97490999999</v>
      </c>
    </row>
    <row r="69" spans="2:6" x14ac:dyDescent="0.25">
      <c r="B69" s="27" t="s">
        <v>776</v>
      </c>
      <c r="C69" s="84">
        <v>117102.45069</v>
      </c>
      <c r="D69" s="84">
        <v>126406.08116000002</v>
      </c>
      <c r="E69" s="84">
        <v>125365.67968000002</v>
      </c>
      <c r="F69" s="84">
        <v>138936.32328000001</v>
      </c>
    </row>
    <row r="70" spans="2:6" x14ac:dyDescent="0.25">
      <c r="B70" s="27" t="s">
        <v>777</v>
      </c>
      <c r="C70" s="84">
        <v>373646.72819510126</v>
      </c>
      <c r="D70" s="84">
        <v>320849.44477814983</v>
      </c>
      <c r="E70" s="84">
        <v>313467.54572685808</v>
      </c>
      <c r="F70" s="84">
        <v>339057.19796782831</v>
      </c>
    </row>
    <row r="71" spans="2:6" x14ac:dyDescent="0.25">
      <c r="B71" s="27" t="s">
        <v>778</v>
      </c>
      <c r="C71" s="84">
        <v>445896.16983366798</v>
      </c>
      <c r="D71" s="84">
        <v>408496.5150826188</v>
      </c>
      <c r="E71" s="84">
        <v>327559.90186787292</v>
      </c>
      <c r="F71" s="84">
        <v>354629.83724496537</v>
      </c>
    </row>
    <row r="72" spans="2:6" x14ac:dyDescent="0.25">
      <c r="B72" s="27" t="s">
        <v>779</v>
      </c>
      <c r="C72" s="84">
        <v>52961.832679999992</v>
      </c>
      <c r="D72" s="84">
        <v>53074.915779999996</v>
      </c>
      <c r="E72" s="84">
        <v>151210.25730999999</v>
      </c>
      <c r="F72" s="84">
        <v>152660.91133</v>
      </c>
    </row>
    <row r="73" spans="2:6" x14ac:dyDescent="0.25">
      <c r="B73" s="27" t="s">
        <v>780</v>
      </c>
      <c r="C73" s="84">
        <v>0</v>
      </c>
      <c r="D73" s="84">
        <v>0</v>
      </c>
      <c r="E73" s="84">
        <v>0</v>
      </c>
      <c r="F73" s="84">
        <v>0</v>
      </c>
    </row>
    <row r="74" spans="2:6" x14ac:dyDescent="0.25">
      <c r="B74" s="27" t="s">
        <v>781</v>
      </c>
      <c r="C74" s="84">
        <v>-159.28282999999999</v>
      </c>
      <c r="D74" s="84">
        <v>-1929.3792300000002</v>
      </c>
      <c r="E74" s="84">
        <v>-2755.8848500000004</v>
      </c>
      <c r="F74" s="84">
        <v>-14197.011835149999</v>
      </c>
    </row>
    <row r="75" spans="2:6" x14ac:dyDescent="0.25">
      <c r="B75" s="27" t="s">
        <v>782</v>
      </c>
      <c r="C75" s="84">
        <v>0</v>
      </c>
      <c r="D75" s="84">
        <v>192475.56798625999</v>
      </c>
      <c r="E75" s="84">
        <v>342104.78915579943</v>
      </c>
      <c r="F75" s="84">
        <v>321101.68517357006</v>
      </c>
    </row>
    <row r="76" spans="2:6" x14ac:dyDescent="0.25">
      <c r="B76" s="27" t="s">
        <v>783</v>
      </c>
      <c r="C76" s="84">
        <v>212051.97545</v>
      </c>
      <c r="D76" s="84">
        <v>193558.09550000002</v>
      </c>
      <c r="E76" s="84">
        <v>177091.98061999999</v>
      </c>
      <c r="F76" s="84">
        <v>175874.05398</v>
      </c>
    </row>
    <row r="77" spans="2:6" x14ac:dyDescent="0.25">
      <c r="B77" s="27" t="s">
        <v>784</v>
      </c>
      <c r="C77" s="84">
        <v>1027427.386370415</v>
      </c>
      <c r="D77" s="84">
        <v>939815.32608000003</v>
      </c>
      <c r="E77" s="84">
        <v>779853.51831828256</v>
      </c>
      <c r="F77" s="84">
        <v>720232.09952285863</v>
      </c>
    </row>
    <row r="78" spans="2:6" x14ac:dyDescent="0.25">
      <c r="B78" s="27" t="s">
        <v>785</v>
      </c>
      <c r="C78" s="84">
        <v>190656.14904053856</v>
      </c>
      <c r="D78" s="84">
        <v>190358.68527696983</v>
      </c>
      <c r="E78" s="84">
        <v>140126.17271183486</v>
      </c>
      <c r="F78" s="84">
        <v>113671.88652283163</v>
      </c>
    </row>
    <row r="79" spans="2:6" x14ac:dyDescent="0.25">
      <c r="B79" s="27" t="s">
        <v>786</v>
      </c>
      <c r="C79" s="84">
        <v>5237.0859617814467</v>
      </c>
      <c r="D79" s="84">
        <v>0</v>
      </c>
      <c r="E79" s="84">
        <v>0</v>
      </c>
      <c r="F79" s="84">
        <v>0</v>
      </c>
    </row>
    <row r="80" spans="2:6" x14ac:dyDescent="0.25">
      <c r="B80" s="27" t="s">
        <v>787</v>
      </c>
      <c r="C80" s="84">
        <v>41151.235259999994</v>
      </c>
      <c r="D80" s="84">
        <v>3567.7399799999998</v>
      </c>
      <c r="E80" s="84">
        <v>2146.96146</v>
      </c>
      <c r="F80" s="84">
        <v>2432.2185899999999</v>
      </c>
    </row>
    <row r="81" spans="2:6" x14ac:dyDescent="0.25">
      <c r="B81" s="26" t="s">
        <v>788</v>
      </c>
      <c r="C81" s="83">
        <v>3864.6053716217421</v>
      </c>
      <c r="D81" s="83">
        <v>4426.4717183708899</v>
      </c>
      <c r="E81" s="83">
        <v>4216.2790637650596</v>
      </c>
      <c r="F81" s="83">
        <v>4574.0678931557659</v>
      </c>
    </row>
    <row r="82" spans="2:6" x14ac:dyDescent="0.25">
      <c r="B82" s="27" t="s">
        <v>789</v>
      </c>
      <c r="C82" s="84">
        <v>13131.281490000001</v>
      </c>
      <c r="D82" s="84">
        <v>11160.991329999999</v>
      </c>
      <c r="E82" s="84">
        <v>14676.41567</v>
      </c>
      <c r="F82" s="84">
        <v>17924.74325</v>
      </c>
    </row>
    <row r="83" spans="2:6" x14ac:dyDescent="0.25">
      <c r="B83" s="27" t="s">
        <v>790</v>
      </c>
      <c r="C83" s="84">
        <v>0</v>
      </c>
      <c r="D83" s="84">
        <v>0</v>
      </c>
      <c r="E83" s="84">
        <v>0</v>
      </c>
      <c r="F83" s="84">
        <v>0</v>
      </c>
    </row>
    <row r="84" spans="2:6" x14ac:dyDescent="0.25">
      <c r="B84" s="27" t="s">
        <v>791</v>
      </c>
      <c r="C84" s="84">
        <v>14763.617011285925</v>
      </c>
      <c r="D84" s="84">
        <v>14588.472057440868</v>
      </c>
      <c r="E84" s="84">
        <v>14980.647902446395</v>
      </c>
      <c r="F84" s="84">
        <v>17644.576453110614</v>
      </c>
    </row>
    <row r="85" spans="2:6" x14ac:dyDescent="0.25">
      <c r="B85" s="84" t="s">
        <v>792</v>
      </c>
      <c r="C85" s="84">
        <v>0</v>
      </c>
      <c r="D85" s="84">
        <v>0</v>
      </c>
      <c r="E85" s="84">
        <v>0</v>
      </c>
      <c r="F85" s="84">
        <v>0</v>
      </c>
    </row>
    <row r="86" spans="2:6" x14ac:dyDescent="0.25">
      <c r="B86" s="27" t="s">
        <v>793</v>
      </c>
      <c r="C86" s="84">
        <v>0</v>
      </c>
      <c r="D86" s="84">
        <v>0</v>
      </c>
      <c r="E86" s="84">
        <v>0</v>
      </c>
      <c r="F86" s="84">
        <v>0</v>
      </c>
    </row>
    <row r="87" spans="2:6" x14ac:dyDescent="0.25">
      <c r="B87" s="27" t="s">
        <v>794</v>
      </c>
      <c r="C87" s="84">
        <v>0</v>
      </c>
      <c r="D87" s="84">
        <v>0</v>
      </c>
      <c r="E87" s="84">
        <v>0</v>
      </c>
      <c r="F87" s="84">
        <v>0</v>
      </c>
    </row>
    <row r="88" spans="2:6" x14ac:dyDescent="0.25">
      <c r="B88" s="27" t="s">
        <v>795</v>
      </c>
      <c r="C88" s="84">
        <v>199447.94242873561</v>
      </c>
      <c r="D88" s="84">
        <v>0</v>
      </c>
      <c r="E88" s="84">
        <v>0</v>
      </c>
      <c r="F88" s="84">
        <v>0</v>
      </c>
    </row>
    <row r="89" spans="2:6" x14ac:dyDescent="0.25">
      <c r="B89" s="27" t="s">
        <v>796</v>
      </c>
      <c r="C89" s="84">
        <v>577618.78086715483</v>
      </c>
      <c r="D89" s="84">
        <v>0</v>
      </c>
      <c r="E89" s="84">
        <v>0</v>
      </c>
      <c r="F89" s="84">
        <v>0</v>
      </c>
    </row>
    <row r="90" spans="2:6" x14ac:dyDescent="0.25">
      <c r="B90" s="27" t="s">
        <v>797</v>
      </c>
      <c r="C90" s="84">
        <v>25601.506000000001</v>
      </c>
      <c r="D90" s="84">
        <v>0</v>
      </c>
      <c r="E90" s="84">
        <v>0</v>
      </c>
      <c r="F90" s="84">
        <v>0</v>
      </c>
    </row>
    <row r="91" spans="2:6" x14ac:dyDescent="0.25">
      <c r="B91" s="26" t="s">
        <v>186</v>
      </c>
      <c r="C91" s="83">
        <v>0</v>
      </c>
      <c r="D91" s="83">
        <v>0</v>
      </c>
      <c r="E91" s="83">
        <v>6940.3020193031489</v>
      </c>
      <c r="F91" s="83">
        <v>13222</v>
      </c>
    </row>
    <row r="92" spans="2:6" x14ac:dyDescent="0.25">
      <c r="B92" s="80" t="s">
        <v>8</v>
      </c>
      <c r="C92" s="81">
        <v>1949012.5032741146</v>
      </c>
      <c r="D92" s="81">
        <v>1295974.8497378791</v>
      </c>
      <c r="E92" s="81">
        <v>1152488.6082039354</v>
      </c>
      <c r="F92" s="81">
        <v>1334034.1691032713</v>
      </c>
    </row>
    <row r="93" spans="2:6" x14ac:dyDescent="0.25">
      <c r="B93" s="27"/>
      <c r="C93" s="84"/>
      <c r="D93" s="84"/>
      <c r="E93" s="84"/>
      <c r="F93" s="84"/>
    </row>
    <row r="94" spans="2:6" x14ac:dyDescent="0.25">
      <c r="B94" s="27"/>
      <c r="C94" s="84"/>
      <c r="D94" s="84"/>
      <c r="E94" s="84"/>
      <c r="F94" s="84"/>
    </row>
    <row r="95" spans="2:6" x14ac:dyDescent="0.25">
      <c r="B95" s="27"/>
      <c r="C95" s="84"/>
      <c r="D95" s="84"/>
      <c r="E95" s="84"/>
      <c r="F95" s="84"/>
    </row>
    <row r="96" spans="2:6" x14ac:dyDescent="0.25">
      <c r="B96" s="27"/>
      <c r="C96" s="84"/>
      <c r="D96" s="84"/>
      <c r="E96" s="84"/>
      <c r="F96" s="84"/>
    </row>
    <row r="97" spans="2:6" x14ac:dyDescent="0.25">
      <c r="B97" s="27"/>
      <c r="C97" s="84"/>
      <c r="D97" s="84"/>
      <c r="E97" s="84"/>
      <c r="F97" s="84"/>
    </row>
    <row r="98" spans="2:6" x14ac:dyDescent="0.25">
      <c r="B98" s="27"/>
      <c r="C98" s="84"/>
      <c r="D98" s="84"/>
      <c r="E98" s="84"/>
      <c r="F98" s="84"/>
    </row>
    <row r="99" spans="2:6" x14ac:dyDescent="0.25">
      <c r="B99" s="27"/>
      <c r="C99" s="84"/>
      <c r="D99" s="84"/>
      <c r="E99" s="84"/>
      <c r="F99" s="84"/>
    </row>
    <row r="100" spans="2:6" x14ac:dyDescent="0.25">
      <c r="B100" s="27"/>
      <c r="C100" s="84"/>
      <c r="D100" s="84"/>
      <c r="E100" s="84"/>
      <c r="F100" s="84"/>
    </row>
    <row r="101" spans="2:6" x14ac:dyDescent="0.25">
      <c r="B101" s="27"/>
      <c r="C101" s="84"/>
      <c r="D101" s="84"/>
      <c r="E101" s="84"/>
      <c r="F101" s="84"/>
    </row>
    <row r="102" spans="2:6" x14ac:dyDescent="0.25">
      <c r="B102" s="80"/>
      <c r="C102" s="81"/>
      <c r="D102" s="81"/>
      <c r="E102" s="81"/>
      <c r="F102" s="81"/>
    </row>
    <row r="103" spans="2:6" x14ac:dyDescent="0.25">
      <c r="B103" s="80"/>
      <c r="C103" s="81"/>
      <c r="D103" s="81"/>
      <c r="E103" s="81"/>
      <c r="F103" s="81"/>
    </row>
    <row r="104" spans="2:6" x14ac:dyDescent="0.25">
      <c r="B104" s="80"/>
      <c r="C104" s="81"/>
      <c r="D104" s="81"/>
      <c r="E104" s="81"/>
      <c r="F104" s="81"/>
    </row>
    <row r="105" spans="2:6" x14ac:dyDescent="0.25">
      <c r="B105" s="27"/>
      <c r="C105" s="28"/>
      <c r="D105" s="28"/>
      <c r="E105" s="28"/>
      <c r="F105" s="28"/>
    </row>
    <row r="106" spans="2:6" x14ac:dyDescent="0.25">
      <c r="B106" s="27"/>
      <c r="C106" s="28"/>
      <c r="D106" s="28"/>
      <c r="E106" s="28"/>
      <c r="F106" s="28"/>
    </row>
    <row r="107" spans="2:6" x14ac:dyDescent="0.25">
      <c r="B107" s="22"/>
      <c r="C107" s="23"/>
      <c r="D107" s="23"/>
      <c r="E107" s="23"/>
      <c r="F107" s="23"/>
    </row>
  </sheetData>
  <sheetProtection algorithmName="SHA-512" hashValue="IRxkz0XS0c0NxKBhWZmy69dMrRXwNrC/A4ue2ePnpiQLp5Rtsc2dbuPMzuNWJClYTJ6/1oCBJ2YGqoGH5kOx2Q==" saltValue="gufCHDiTvaqkMQi1U41EtA==" spinCount="100000" sheet="1" scenarios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4">
        <v>2020</v>
      </c>
      <c r="B1" s="25" t="s">
        <v>36</v>
      </c>
      <c r="C1" s="25" t="s">
        <v>37</v>
      </c>
      <c r="D1" s="25" t="s">
        <v>38</v>
      </c>
      <c r="E1" s="25" t="s">
        <v>39</v>
      </c>
      <c r="F1" s="25" t="s">
        <v>40</v>
      </c>
      <c r="G1" s="25" t="s">
        <v>41</v>
      </c>
      <c r="H1" s="30" t="s">
        <v>44</v>
      </c>
      <c r="I1" s="25" t="s">
        <v>8</v>
      </c>
    </row>
    <row r="2" spans="1:9" ht="18" customHeight="1" x14ac:dyDescent="0.25">
      <c r="A2" t="s">
        <v>24</v>
      </c>
      <c r="B2" s="162">
        <v>6470796.5046400009</v>
      </c>
      <c r="C2" s="162">
        <v>1128745.3298773658</v>
      </c>
      <c r="D2" s="162">
        <v>252491.10401898541</v>
      </c>
      <c r="E2" s="7">
        <v>0</v>
      </c>
      <c r="F2" s="7">
        <v>82384.543050000007</v>
      </c>
      <c r="G2" s="32">
        <v>-2108842.4712629309</v>
      </c>
      <c r="H2" s="7">
        <v>73508.84114553628</v>
      </c>
      <c r="I2" s="32">
        <f>(SUM(B2:D2))- (SUM(E2:H2))</f>
        <v>9804982.025603747</v>
      </c>
    </row>
    <row r="3" spans="1:9" ht="18" customHeight="1" x14ac:dyDescent="0.25">
      <c r="A3" t="s">
        <v>47</v>
      </c>
      <c r="B3" s="162">
        <v>2324863.5570699996</v>
      </c>
      <c r="C3" s="162">
        <v>293279.33249464142</v>
      </c>
      <c r="D3" s="162">
        <v>68329.661131253597</v>
      </c>
      <c r="E3" s="7">
        <v>0</v>
      </c>
      <c r="F3" s="7">
        <v>89023.00165000002</v>
      </c>
      <c r="G3" s="32">
        <v>120936.80364912664</v>
      </c>
      <c r="H3" s="7">
        <v>2275.5470661776562</v>
      </c>
      <c r="I3" s="32">
        <f t="shared" ref="I3:I10" si="0">(SUM(B3:D3))- (SUM(E3:H3))</f>
        <v>2474237.19833059</v>
      </c>
    </row>
    <row r="4" spans="1:9" ht="18" customHeight="1" x14ac:dyDescent="0.25">
      <c r="A4" t="s">
        <v>48</v>
      </c>
      <c r="B4" s="162">
        <v>2936631.9907399998</v>
      </c>
      <c r="C4" s="162">
        <v>371369.62761093455</v>
      </c>
      <c r="D4" s="162">
        <v>86677.786778376176</v>
      </c>
      <c r="E4" s="7">
        <v>0</v>
      </c>
      <c r="F4" s="7">
        <v>51583.81583</v>
      </c>
      <c r="G4" s="32">
        <v>136010.83344319998</v>
      </c>
      <c r="H4" s="7">
        <v>3928.5118317583838</v>
      </c>
      <c r="I4" s="32">
        <f t="shared" si="0"/>
        <v>3203156.2440243517</v>
      </c>
    </row>
    <row r="5" spans="1:9" ht="18" customHeight="1" x14ac:dyDescent="0.25">
      <c r="A5" t="s">
        <v>46</v>
      </c>
      <c r="B5" s="162">
        <v>4860845.5463799993</v>
      </c>
      <c r="C5" s="162">
        <v>643628.63052642532</v>
      </c>
      <c r="D5" s="162">
        <v>145307.80580283341</v>
      </c>
      <c r="E5" s="7">
        <v>0</v>
      </c>
      <c r="F5" s="7">
        <v>103362.52062000001</v>
      </c>
      <c r="G5" s="32">
        <v>-14024.966642685089</v>
      </c>
      <c r="H5" s="7">
        <v>-32876.986860810532</v>
      </c>
      <c r="I5" s="32">
        <f t="shared" si="0"/>
        <v>5593321.4155927533</v>
      </c>
    </row>
    <row r="6" spans="1:9" ht="18" customHeight="1" x14ac:dyDescent="0.25">
      <c r="A6" t="s">
        <v>25</v>
      </c>
      <c r="B6" s="162">
        <v>2501057.5992799997</v>
      </c>
      <c r="C6" s="162">
        <v>309245.02985578333</v>
      </c>
      <c r="D6" s="162">
        <v>71931.426711190434</v>
      </c>
      <c r="E6" s="7">
        <v>0</v>
      </c>
      <c r="F6" s="7">
        <v>14912.124640000002</v>
      </c>
      <c r="G6" s="32">
        <v>178066.50925627281</v>
      </c>
      <c r="H6" s="7">
        <v>-31372.743072391037</v>
      </c>
      <c r="I6" s="32">
        <f t="shared" si="0"/>
        <v>2720628.1650230917</v>
      </c>
    </row>
    <row r="7" spans="1:9" ht="18" customHeight="1" x14ac:dyDescent="0.25">
      <c r="A7" t="s">
        <v>26</v>
      </c>
      <c r="B7" s="162">
        <v>423243.61072999996</v>
      </c>
      <c r="C7" s="162">
        <v>52336.907756381843</v>
      </c>
      <c r="D7" s="162">
        <v>12192.406674186146</v>
      </c>
      <c r="E7" s="7">
        <v>0</v>
      </c>
      <c r="F7" s="162">
        <v>4133.3489300000001</v>
      </c>
      <c r="G7" s="261">
        <v>49516.201892945246</v>
      </c>
      <c r="H7" s="7">
        <v>4730.6625225775715</v>
      </c>
      <c r="I7" s="32">
        <f t="shared" si="0"/>
        <v>429392.71181504516</v>
      </c>
    </row>
    <row r="8" spans="1:9" ht="18" customHeight="1" x14ac:dyDescent="0.25">
      <c r="A8" t="s">
        <v>53</v>
      </c>
      <c r="B8" s="162">
        <v>133617.83378000002</v>
      </c>
      <c r="C8" s="162">
        <v>16758.045565349057</v>
      </c>
      <c r="D8" s="162">
        <v>3965.8120827137595</v>
      </c>
      <c r="E8" s="7">
        <v>0</v>
      </c>
      <c r="F8" s="7">
        <v>2883.1908900000003</v>
      </c>
      <c r="G8" s="32">
        <v>-5568.0956377027096</v>
      </c>
      <c r="H8" s="7">
        <v>-1532.2584410060781</v>
      </c>
      <c r="I8" s="32">
        <f t="shared" si="0"/>
        <v>158558.85461677163</v>
      </c>
    </row>
    <row r="9" spans="1:9" ht="18" customHeight="1" x14ac:dyDescent="0.25">
      <c r="A9" t="s">
        <v>27</v>
      </c>
      <c r="B9" s="7">
        <v>0</v>
      </c>
      <c r="C9" s="162">
        <v>0</v>
      </c>
      <c r="D9" s="162">
        <v>199447.94242873561</v>
      </c>
      <c r="E9" s="7">
        <v>0</v>
      </c>
      <c r="F9" s="7">
        <v>0</v>
      </c>
      <c r="G9" s="32">
        <v>199447.94242873561</v>
      </c>
      <c r="H9" s="7">
        <v>0</v>
      </c>
      <c r="I9" s="32">
        <f t="shared" si="0"/>
        <v>0</v>
      </c>
    </row>
    <row r="10" spans="1:9" ht="18" customHeight="1" x14ac:dyDescent="0.25">
      <c r="A10" t="s">
        <v>28</v>
      </c>
      <c r="B10" s="7">
        <v>0</v>
      </c>
      <c r="C10" s="162">
        <v>3070985.1903299997</v>
      </c>
      <c r="D10" s="162">
        <v>435841.51207270008</v>
      </c>
      <c r="E10" s="7">
        <v>0</v>
      </c>
      <c r="F10" s="7">
        <v>113356.95625554712</v>
      </c>
      <c r="G10" s="7">
        <v>3393469.746147153</v>
      </c>
      <c r="H10" s="7">
        <v>0</v>
      </c>
      <c r="I10" s="162">
        <f t="shared" si="0"/>
        <v>0</v>
      </c>
    </row>
    <row r="11" spans="1:9" ht="18" customHeight="1" x14ac:dyDescent="0.25">
      <c r="A11" s="82"/>
      <c r="B11" s="7"/>
      <c r="C11" s="162"/>
      <c r="D11" s="7"/>
      <c r="E11" s="7"/>
      <c r="F11" s="7"/>
      <c r="G11" s="7"/>
    </row>
    <row r="12" spans="1:9" ht="18" customHeight="1" x14ac:dyDescent="0.25">
      <c r="A12" s="158">
        <v>2019</v>
      </c>
      <c r="B12" s="7"/>
      <c r="C12" s="162"/>
      <c r="D12" s="7"/>
      <c r="E12" s="7"/>
      <c r="F12" s="7"/>
      <c r="G12" s="7"/>
      <c r="I12" s="32">
        <f t="shared" ref="I12:I21" si="1">(SUM(B12:D12))- (SUM(E12:H12))</f>
        <v>0</v>
      </c>
    </row>
    <row r="13" spans="1:9" ht="18" customHeight="1" x14ac:dyDescent="0.25">
      <c r="A13" t="s">
        <v>24</v>
      </c>
      <c r="B13" s="7">
        <v>6304391.2493600026</v>
      </c>
      <c r="C13" s="162">
        <v>665260.07296353066</v>
      </c>
      <c r="D13" s="32">
        <v>666565.12089713349</v>
      </c>
      <c r="E13" s="32">
        <v>0</v>
      </c>
      <c r="F13" s="32">
        <v>53392.886989999999</v>
      </c>
      <c r="G13" s="32">
        <v>-2164918.3018461205</v>
      </c>
      <c r="H13" s="32">
        <v>52451.143585691898</v>
      </c>
      <c r="I13" s="32">
        <f t="shared" si="1"/>
        <v>9695290.7144910954</v>
      </c>
    </row>
    <row r="14" spans="1:9" ht="18" customHeight="1" x14ac:dyDescent="0.25">
      <c r="A14" s="33" t="s">
        <v>47</v>
      </c>
      <c r="B14" s="7">
        <v>2092388.8544499995</v>
      </c>
      <c r="C14" s="162">
        <v>163523.75973096446</v>
      </c>
      <c r="D14" s="7">
        <v>171743.74385036508</v>
      </c>
      <c r="E14" s="7">
        <v>0</v>
      </c>
      <c r="F14" s="7">
        <v>18909.775719999998</v>
      </c>
      <c r="G14" s="7">
        <v>-30501.609226428729</v>
      </c>
      <c r="H14" s="7">
        <v>16190.445137834766</v>
      </c>
      <c r="I14" s="32">
        <f t="shared" si="1"/>
        <v>2423057.7463999232</v>
      </c>
    </row>
    <row r="15" spans="1:9" s="27" customFormat="1" ht="18" customHeight="1" x14ac:dyDescent="0.25">
      <c r="A15" s="33" t="s">
        <v>48</v>
      </c>
      <c r="B15" s="28">
        <v>2675839.4970499994</v>
      </c>
      <c r="C15" s="84">
        <v>208372.12441071795</v>
      </c>
      <c r="D15" s="28">
        <v>219195.05349622559</v>
      </c>
      <c r="E15" s="28">
        <v>0</v>
      </c>
      <c r="F15" s="28">
        <v>22471.707259999999</v>
      </c>
      <c r="G15" s="28">
        <v>31946.138137744987</v>
      </c>
      <c r="H15" s="28">
        <v>3565.3221127002726</v>
      </c>
      <c r="I15" s="32">
        <f t="shared" si="1"/>
        <v>3045423.5074464977</v>
      </c>
    </row>
    <row r="16" spans="1:9" ht="18" customHeight="1" x14ac:dyDescent="0.25">
      <c r="A16" t="s">
        <v>46</v>
      </c>
      <c r="B16" s="7">
        <v>4653692.23159</v>
      </c>
      <c r="C16" s="162">
        <v>375448.72159044317</v>
      </c>
      <c r="D16" s="7">
        <v>380936.74336123501</v>
      </c>
      <c r="E16" s="7">
        <v>0</v>
      </c>
      <c r="F16" s="7">
        <v>81207.110480000003</v>
      </c>
      <c r="G16" s="7">
        <v>-146604.25506376624</v>
      </c>
      <c r="H16" s="7">
        <v>-29442.69735061959</v>
      </c>
      <c r="I16" s="32">
        <f t="shared" si="1"/>
        <v>5504917.5384760639</v>
      </c>
    </row>
    <row r="17" spans="1:9" ht="18" customHeight="1" x14ac:dyDescent="0.25">
      <c r="A17" t="s">
        <v>25</v>
      </c>
      <c r="B17" s="7">
        <v>2347588.9952399996</v>
      </c>
      <c r="C17" s="162">
        <v>178410.16957791746</v>
      </c>
      <c r="D17" s="7">
        <v>186750.06334592629</v>
      </c>
      <c r="E17" s="7">
        <v>0</v>
      </c>
      <c r="F17" s="7">
        <v>22956.84347</v>
      </c>
      <c r="G17" s="7">
        <v>66813.491001461036</v>
      </c>
      <c r="H17" s="7">
        <v>-22378.722161244474</v>
      </c>
      <c r="I17" s="32">
        <f t="shared" si="1"/>
        <v>2645357.6158536267</v>
      </c>
    </row>
    <row r="18" spans="1:9" ht="18" customHeight="1" x14ac:dyDescent="0.25">
      <c r="A18" t="s">
        <v>26</v>
      </c>
      <c r="B18" s="7">
        <v>392058.91190000006</v>
      </c>
      <c r="C18" s="162">
        <v>29775.392683821592</v>
      </c>
      <c r="D18" s="7">
        <v>31222.878022085788</v>
      </c>
      <c r="E18" s="7">
        <v>0</v>
      </c>
      <c r="F18" s="7">
        <v>2494.5999900000002</v>
      </c>
      <c r="G18" s="7">
        <v>23900.800456899251</v>
      </c>
      <c r="H18" s="7">
        <v>4992.9378461170372</v>
      </c>
      <c r="I18" s="32">
        <f t="shared" si="1"/>
        <v>421668.84431289113</v>
      </c>
    </row>
    <row r="19" spans="1:9" ht="18" customHeight="1" x14ac:dyDescent="0.25">
      <c r="A19" t="s">
        <v>53</v>
      </c>
      <c r="B19" s="7">
        <v>99149.253630000021</v>
      </c>
      <c r="C19" s="162">
        <v>8074.3803261679059</v>
      </c>
      <c r="D19" s="7">
        <v>8630.0718240986916</v>
      </c>
      <c r="E19" s="7">
        <v>0</v>
      </c>
      <c r="F19" s="7">
        <v>13.878360000000001</v>
      </c>
      <c r="G19" s="7">
        <v>-10937.741693918906</v>
      </c>
      <c r="H19" s="7">
        <v>-1852.0681239369458</v>
      </c>
      <c r="I19" s="32">
        <f t="shared" si="1"/>
        <v>128629.63723812248</v>
      </c>
    </row>
    <row r="20" spans="1:9" ht="18" customHeight="1" x14ac:dyDescent="0.25">
      <c r="A20" t="s">
        <v>27</v>
      </c>
      <c r="B20" s="7">
        <v>0</v>
      </c>
      <c r="C20" s="162">
        <v>0</v>
      </c>
      <c r="D20" s="7">
        <v>192475.56798626023</v>
      </c>
      <c r="E20" s="7">
        <v>0</v>
      </c>
      <c r="F20" s="7">
        <v>0</v>
      </c>
      <c r="G20" s="7">
        <v>192475.56798625999</v>
      </c>
      <c r="H20" s="7">
        <v>0</v>
      </c>
      <c r="I20" s="162">
        <f t="shared" si="1"/>
        <v>2.3283064365386963E-10</v>
      </c>
    </row>
    <row r="21" spans="1:9" ht="18" customHeight="1" x14ac:dyDescent="0.25">
      <c r="A21" t="s">
        <v>28</v>
      </c>
      <c r="B21" s="7">
        <v>0</v>
      </c>
      <c r="C21" s="162">
        <v>3128550.1349900002</v>
      </c>
      <c r="D21" s="7">
        <v>467173.02482685557</v>
      </c>
      <c r="E21" s="7">
        <v>0</v>
      </c>
      <c r="F21" s="7">
        <v>261922.39983110706</v>
      </c>
      <c r="G21" s="7">
        <v>3333800.7599857482</v>
      </c>
      <c r="H21" s="7">
        <v>0</v>
      </c>
      <c r="I21" s="162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1EcYnkZ00zHoqzdFQ9j82nHUr1A1fu70ZTXovDmAqA21GzoD+r2/VzGUySE7cxGxm4V4KFvgueKF29MZvEHbxw==" saltValue="6rE7c3FcrR0Nc/ykHA5+7w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d029c4cfccfd1d4ffc9eefd75b32fa7b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d4cd31a9947f6470330e4d022f0c99a4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A14992-9A76-442E-AE4E-A9282EC9E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2A235F-0BC6-4547-BCA2-5EEC596F18EA}">
  <ds:schemaRefs>
    <ds:schemaRef ds:uri="http://purl.org/dc/elements/1.1/"/>
    <ds:schemaRef ds:uri="http://schemas.microsoft.com/office/2006/metadata/properties"/>
    <ds:schemaRef ds:uri="74a7c401-b6db-4ac6-b95f-62bdc49ae59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60cb271-d094-477e-a947-a350081a53f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13</vt:i4>
      </vt:variant>
    </vt:vector>
  </HeadingPairs>
  <TitlesOfParts>
    <vt:vector size="27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2019</vt:lpstr>
      <vt:lpstr>2020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 Refnov</dc:creator>
  <cp:lastModifiedBy>Ludvig Engelhardt Teglbjærg</cp:lastModifiedBy>
  <cp:lastPrinted>2016-01-12T09:11:37Z</cp:lastPrinted>
  <dcterms:created xsi:type="dcterms:W3CDTF">2011-12-09T07:32:30Z</dcterms:created>
  <dcterms:modified xsi:type="dcterms:W3CDTF">2022-09-23T11:19:18Z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</Properties>
</file>