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055544\Desktop\Potentialeupload\"/>
    </mc:Choice>
  </mc:AlternateContent>
  <bookViews>
    <workbookView xWindow="0" yWindow="0" windowWidth="23040" windowHeight="9192" firstSheet="4" activeTab="6"/>
  </bookViews>
  <sheets>
    <sheet name="1. Hovedresultater" sheetId="1" r:id="rId1"/>
    <sheet name="2. Forbrugerbesparelser" sheetId="6" r:id="rId2"/>
    <sheet name="3. Omkostningsgrundlag for gene" sheetId="7" r:id="rId3"/>
    <sheet name="4. Benchmarking 2019" sheetId="2" r:id="rId4"/>
    <sheet name="5. Omkostningsramme for effekti" sheetId="3" r:id="rId5"/>
    <sheet name="6. Produktivitetsudvikling data" sheetId="4" r:id="rId6"/>
    <sheet name="7. Vægte til brug for indfriels" sheetId="5" r:id="rId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3" i="3" l="1"/>
  <c r="S16" i="2"/>
  <c r="S25" i="2" l="1"/>
  <c r="F43" i="1"/>
  <c r="H23" i="1"/>
  <c r="J17" i="5" l="1"/>
  <c r="F64" i="1" l="1"/>
  <c r="O39" i="1"/>
  <c r="F44" i="1"/>
  <c r="H14" i="1"/>
  <c r="D9" i="5"/>
  <c r="D10" i="5"/>
  <c r="H13" i="1"/>
  <c r="C7" i="7" l="1"/>
  <c r="H51" i="7"/>
  <c r="I7" i="7" l="1"/>
  <c r="F58" i="1"/>
  <c r="N78" i="1" s="1"/>
  <c r="O78" i="1" s="1"/>
  <c r="H24" i="1"/>
  <c r="N59" i="1" l="1"/>
  <c r="O59" i="1" s="1"/>
  <c r="N79" i="1"/>
  <c r="O79" i="1" s="1"/>
  <c r="C8" i="7" l="1"/>
  <c r="I8" i="7" s="1"/>
  <c r="C9" i="7"/>
  <c r="I9" i="7" s="1"/>
  <c r="C10" i="7"/>
  <c r="I10" i="7" s="1"/>
  <c r="C11" i="7"/>
  <c r="I11" i="7" s="1"/>
  <c r="C12" i="7"/>
  <c r="I12" i="7" s="1"/>
  <c r="C13" i="7"/>
  <c r="I13" i="7" s="1"/>
  <c r="C14" i="7"/>
  <c r="I14" i="7" s="1"/>
  <c r="C15" i="7"/>
  <c r="I15" i="7" s="1"/>
  <c r="C16" i="7"/>
  <c r="I16" i="7" s="1"/>
  <c r="C17" i="7"/>
  <c r="I17" i="7" s="1"/>
  <c r="C18" i="7"/>
  <c r="I18" i="7" s="1"/>
  <c r="C19" i="7"/>
  <c r="I19" i="7" s="1"/>
  <c r="C20" i="7"/>
  <c r="I20" i="7" s="1"/>
  <c r="C21" i="7"/>
  <c r="I21" i="7" s="1"/>
  <c r="C22" i="7"/>
  <c r="I22" i="7" s="1"/>
  <c r="C23" i="7"/>
  <c r="I23" i="7" s="1"/>
  <c r="C24" i="7"/>
  <c r="I24" i="7" s="1"/>
  <c r="C25" i="7"/>
  <c r="I25" i="7" s="1"/>
  <c r="C26" i="7"/>
  <c r="I26" i="7" s="1"/>
  <c r="C27" i="7"/>
  <c r="I27" i="7" s="1"/>
  <c r="C28" i="7"/>
  <c r="I28" i="7" s="1"/>
  <c r="C29" i="7"/>
  <c r="I29" i="7" s="1"/>
  <c r="C30" i="7"/>
  <c r="I30" i="7" s="1"/>
  <c r="C31" i="7"/>
  <c r="I31" i="7" s="1"/>
  <c r="C32" i="7"/>
  <c r="I32" i="7" s="1"/>
  <c r="C33" i="7"/>
  <c r="I33" i="7" s="1"/>
  <c r="C34" i="7"/>
  <c r="I34" i="7" s="1"/>
  <c r="C35" i="7"/>
  <c r="I35" i="7" s="1"/>
  <c r="C36" i="7"/>
  <c r="I36" i="7" s="1"/>
  <c r="C37" i="7"/>
  <c r="I37" i="7" s="1"/>
  <c r="C38" i="7"/>
  <c r="I38" i="7" s="1"/>
  <c r="C39" i="7"/>
  <c r="I39" i="7" s="1"/>
  <c r="C40" i="7"/>
  <c r="I40" i="7" s="1"/>
  <c r="C41" i="7"/>
  <c r="I41" i="7" s="1"/>
  <c r="C42" i="7"/>
  <c r="I42" i="7" s="1"/>
  <c r="C43" i="7"/>
  <c r="I43" i="7" s="1"/>
  <c r="C44" i="7"/>
  <c r="I44" i="7" s="1"/>
  <c r="C45" i="7"/>
  <c r="I45" i="7" s="1"/>
  <c r="C46" i="7"/>
  <c r="I46" i="7" s="1"/>
  <c r="C47" i="7"/>
  <c r="I47" i="7" s="1"/>
  <c r="C48" i="7"/>
  <c r="I48" i="7" s="1"/>
  <c r="C49" i="7"/>
  <c r="I49" i="7" s="1"/>
  <c r="C50" i="7"/>
  <c r="I50" i="7" s="1"/>
  <c r="E51" i="7"/>
  <c r="D51" i="7"/>
  <c r="I51" i="7" l="1"/>
  <c r="H22" i="1" s="1"/>
  <c r="N80" i="1"/>
  <c r="O80" i="1" s="1"/>
  <c r="C51" i="7"/>
  <c r="H28" i="1" l="1"/>
  <c r="H27" i="1"/>
  <c r="N81" i="1"/>
  <c r="O81" i="1" s="1"/>
  <c r="J13" i="3"/>
  <c r="K10" i="3" s="1"/>
  <c r="I39" i="1" l="1"/>
  <c r="J39" i="1" s="1"/>
  <c r="N82" i="1" l="1"/>
  <c r="O82" i="1" s="1"/>
  <c r="C54" i="2"/>
  <c r="E53" i="2"/>
  <c r="N83" i="1" l="1"/>
  <c r="O83" i="1" s="1"/>
  <c r="S17" i="2"/>
  <c r="N84" i="1" l="1"/>
  <c r="O84" i="1" s="1"/>
  <c r="P39" i="1" l="1"/>
  <c r="N85" i="1"/>
  <c r="O85" i="1" s="1"/>
  <c r="N86" i="1" l="1"/>
  <c r="O86" i="1" s="1"/>
  <c r="N87" i="1" l="1"/>
  <c r="O87" i="1" s="1"/>
  <c r="N88" i="1" l="1"/>
  <c r="X59" i="2" l="1"/>
  <c r="U56" i="2"/>
  <c r="V59" i="2" s="1"/>
  <c r="U57" i="2"/>
  <c r="Y32" i="1" l="1"/>
  <c r="W57" i="6" l="1"/>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9" i="2"/>
  <c r="G53" i="2" s="1"/>
  <c r="H16" i="1" l="1"/>
  <c r="H30" i="1" s="1"/>
  <c r="W53" i="2"/>
  <c r="V53" i="2"/>
  <c r="K53" i="2" l="1"/>
  <c r="J15" i="3"/>
  <c r="L53" i="2"/>
  <c r="AD12" i="2" l="1"/>
  <c r="H12" i="1" s="1"/>
  <c r="AD11" i="2"/>
  <c r="F60" i="1" s="1"/>
  <c r="S11" i="2"/>
  <c r="S10" i="2"/>
  <c r="N11" i="2"/>
  <c r="S12" i="2" l="1"/>
  <c r="N9" i="2"/>
  <c r="N52" i="2"/>
  <c r="N51" i="2"/>
  <c r="N50" i="2"/>
  <c r="N49" i="2"/>
  <c r="N48" i="2"/>
  <c r="N47" i="2"/>
  <c r="N46" i="2"/>
  <c r="N45" i="2"/>
  <c r="N44" i="2"/>
  <c r="N43" i="2"/>
  <c r="N42" i="2"/>
  <c r="N41" i="2"/>
  <c r="N40" i="2"/>
  <c r="N39" i="2"/>
  <c r="N38" i="2"/>
  <c r="N37" i="2"/>
  <c r="N36" i="2"/>
  <c r="N35" i="2"/>
  <c r="N34" i="2"/>
  <c r="N33" i="2"/>
  <c r="N32" i="2"/>
  <c r="N31" i="2"/>
  <c r="N30" i="2"/>
  <c r="N29" i="2"/>
  <c r="N28" i="2"/>
  <c r="N27" i="2"/>
  <c r="N26" i="2"/>
  <c r="N25" i="2"/>
  <c r="N24" i="2"/>
  <c r="N23" i="2"/>
  <c r="N22" i="2"/>
  <c r="N21" i="2"/>
  <c r="N20" i="2"/>
  <c r="N19" i="2"/>
  <c r="N18" i="2"/>
  <c r="N17" i="2"/>
  <c r="N16" i="2"/>
  <c r="N15" i="2"/>
  <c r="N14" i="2"/>
  <c r="N13" i="2"/>
  <c r="N12" i="2"/>
  <c r="N10" i="2"/>
  <c r="F24" i="4"/>
  <c r="G24" i="4"/>
  <c r="H24" i="4"/>
  <c r="I24" i="4"/>
  <c r="J24" i="4"/>
  <c r="K24" i="4"/>
  <c r="L24" i="4"/>
  <c r="M24" i="4"/>
  <c r="N24" i="4"/>
  <c r="O24" i="4"/>
  <c r="P24" i="4"/>
  <c r="Q24" i="4"/>
  <c r="R24" i="4"/>
  <c r="S24" i="4"/>
  <c r="T24" i="4"/>
  <c r="U24" i="4"/>
  <c r="V24" i="4"/>
  <c r="W24" i="4"/>
  <c r="E24" i="4"/>
  <c r="R25" i="4"/>
  <c r="F14" i="4"/>
  <c r="G14" i="4"/>
  <c r="H14" i="4"/>
  <c r="I14" i="4"/>
  <c r="J14" i="4"/>
  <c r="K14" i="4"/>
  <c r="L14" i="4"/>
  <c r="M14" i="4"/>
  <c r="N14" i="4"/>
  <c r="O14" i="4"/>
  <c r="P14" i="4"/>
  <c r="Q14" i="4"/>
  <c r="R14" i="4"/>
  <c r="S14" i="4"/>
  <c r="T14" i="4"/>
  <c r="U14" i="4"/>
  <c r="V14" i="4"/>
  <c r="W14" i="4"/>
  <c r="E14" i="4"/>
  <c r="F13" i="4"/>
  <c r="G13" i="4"/>
  <c r="H13" i="4"/>
  <c r="I13" i="4"/>
  <c r="J13" i="4"/>
  <c r="K13" i="4"/>
  <c r="L13" i="4"/>
  <c r="M13" i="4"/>
  <c r="N13" i="4"/>
  <c r="O13" i="4"/>
  <c r="P13" i="4"/>
  <c r="Q13" i="4"/>
  <c r="R13" i="4"/>
  <c r="S13" i="4"/>
  <c r="T13" i="4"/>
  <c r="U13" i="4"/>
  <c r="V13" i="4"/>
  <c r="W13" i="4"/>
  <c r="E13" i="4"/>
  <c r="U16" i="4" l="1"/>
  <c r="K34" i="4" s="1"/>
  <c r="Q16" i="4"/>
  <c r="W25" i="4"/>
  <c r="S25" i="4"/>
  <c r="O25" i="4"/>
  <c r="N15" i="4"/>
  <c r="V15" i="4"/>
  <c r="U15" i="4"/>
  <c r="K33" i="4" s="1"/>
  <c r="Q15" i="4"/>
  <c r="T16" i="4"/>
  <c r="P16" i="4"/>
  <c r="T15" i="4"/>
  <c r="P15" i="4"/>
  <c r="W16" i="4"/>
  <c r="S16" i="4"/>
  <c r="O16" i="4"/>
  <c r="W15" i="4"/>
  <c r="S15" i="4"/>
  <c r="O15" i="4"/>
  <c r="V16" i="4"/>
  <c r="R16" i="4"/>
  <c r="V25" i="4"/>
  <c r="N53" i="2"/>
  <c r="U25" i="4"/>
  <c r="K36" i="4" s="1"/>
  <c r="Q25" i="4"/>
  <c r="N25" i="4"/>
  <c r="T25" i="4"/>
  <c r="P25" i="4"/>
  <c r="R15" i="4"/>
  <c r="N16" i="4"/>
  <c r="H36" i="4" l="1"/>
  <c r="H34" i="4"/>
  <c r="H33" i="4"/>
  <c r="C10" i="2" l="1"/>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9" i="2"/>
  <c r="C53" i="2" l="1"/>
  <c r="F63" i="1"/>
  <c r="F59" i="1"/>
  <c r="E48" i="1"/>
  <c r="F49" i="1"/>
  <c r="F48" i="1"/>
  <c r="E49" i="1"/>
  <c r="S15" i="2" l="1"/>
  <c r="H8" i="1"/>
  <c r="F61" i="1"/>
  <c r="I78" i="1" s="1"/>
  <c r="I59" i="1" l="1"/>
  <c r="J59" i="1"/>
  <c r="J78" i="1"/>
  <c r="I79" i="1" s="1"/>
  <c r="F16" i="1"/>
  <c r="F10" i="6" l="1"/>
  <c r="C10" i="6"/>
  <c r="E10" i="6"/>
  <c r="D10" i="6"/>
  <c r="D21" i="5"/>
  <c r="P12" i="5" s="1"/>
  <c r="D22" i="5"/>
  <c r="J79" i="1"/>
  <c r="I80" i="1" s="1"/>
  <c r="J16" i="1"/>
  <c r="F30" i="1"/>
  <c r="J30" i="1" s="1"/>
  <c r="S19" i="2"/>
  <c r="N60" i="1"/>
  <c r="I60" i="1"/>
  <c r="J60" i="1" l="1"/>
  <c r="O60" i="1"/>
  <c r="I61" i="1" l="1"/>
  <c r="J80" i="1"/>
  <c r="I81" i="1" s="1"/>
  <c r="O40" i="1"/>
  <c r="N61" i="1"/>
  <c r="O61" i="1" s="1"/>
  <c r="N62" i="1" l="1"/>
  <c r="O62" i="1" s="1"/>
  <c r="N63" i="1" s="1"/>
  <c r="O63" i="1" s="1"/>
  <c r="N64" i="1" s="1"/>
  <c r="O64" i="1" s="1"/>
  <c r="N65" i="1" s="1"/>
  <c r="O65" i="1" s="1"/>
  <c r="D23" i="5"/>
  <c r="P40" i="1"/>
  <c r="O41" i="1" s="1"/>
  <c r="P41" i="1" s="1"/>
  <c r="C11" i="6"/>
  <c r="D11" i="6"/>
  <c r="J81" i="1"/>
  <c r="I82" i="1" s="1"/>
  <c r="J61" i="1"/>
  <c r="I40" i="1"/>
  <c r="F11" i="6" s="1"/>
  <c r="J12" i="5"/>
  <c r="K12" i="5" s="1"/>
  <c r="I27" i="5" s="1"/>
  <c r="J45" i="5"/>
  <c r="K45" i="5" s="1"/>
  <c r="J46" i="5" s="1"/>
  <c r="Q12" i="5"/>
  <c r="P45" i="5"/>
  <c r="Q45" i="5" s="1"/>
  <c r="D12" i="6" l="1"/>
  <c r="J27" i="5"/>
  <c r="C12" i="6"/>
  <c r="J82" i="1"/>
  <c r="I83" i="1" s="1"/>
  <c r="I62" i="1"/>
  <c r="E11" i="6"/>
  <c r="J40" i="1"/>
  <c r="I59" i="5"/>
  <c r="K46" i="5"/>
  <c r="I60" i="5" s="1"/>
  <c r="J59" i="5"/>
  <c r="P46" i="5"/>
  <c r="Q46" i="5" s="1"/>
  <c r="P13" i="5"/>
  <c r="Q13" i="5" s="1"/>
  <c r="J13" i="5"/>
  <c r="K13" i="5" s="1"/>
  <c r="N66" i="1"/>
  <c r="O66" i="1" s="1"/>
  <c r="K27" i="5" l="1"/>
  <c r="L27" i="5" s="1"/>
  <c r="J83" i="1"/>
  <c r="I84" i="1" s="1"/>
  <c r="J62" i="1"/>
  <c r="I41" i="1"/>
  <c r="J41" i="1" s="1"/>
  <c r="J47" i="5"/>
  <c r="K47" i="5" s="1"/>
  <c r="J48" i="5" s="1"/>
  <c r="K48" i="5" s="1"/>
  <c r="I62" i="5" s="1"/>
  <c r="K59" i="5"/>
  <c r="M59" i="5" s="1"/>
  <c r="L78" i="5" s="1"/>
  <c r="X39" i="1" s="1"/>
  <c r="P14" i="5"/>
  <c r="Q14" i="5" s="1"/>
  <c r="J28" i="5"/>
  <c r="J14" i="5"/>
  <c r="K14" i="5" s="1"/>
  <c r="I28" i="5"/>
  <c r="M27" i="5"/>
  <c r="J78" i="5" s="1"/>
  <c r="V39" i="1" s="1"/>
  <c r="J60" i="5"/>
  <c r="K60" i="5" s="1"/>
  <c r="P47" i="5"/>
  <c r="Q47" i="5" s="1"/>
  <c r="N67" i="1"/>
  <c r="O67" i="1" s="1"/>
  <c r="N68" i="1" s="1"/>
  <c r="N69" i="1" s="1"/>
  <c r="E12" i="6" l="1"/>
  <c r="F12" i="6"/>
  <c r="I61" i="5"/>
  <c r="J84" i="1"/>
  <c r="I85" i="1" s="1"/>
  <c r="I63" i="1"/>
  <c r="M73" i="1"/>
  <c r="L59" i="5"/>
  <c r="K78" i="5" s="1"/>
  <c r="W39" i="1" s="1"/>
  <c r="I78" i="5"/>
  <c r="U39" i="1" s="1"/>
  <c r="K28" i="5"/>
  <c r="L28" i="5" s="1"/>
  <c r="I79" i="5" s="1"/>
  <c r="U40" i="1" s="1"/>
  <c r="M60" i="5"/>
  <c r="L79" i="5" s="1"/>
  <c r="X40" i="1" s="1"/>
  <c r="L60" i="5"/>
  <c r="K79" i="5" s="1"/>
  <c r="W40" i="1" s="1"/>
  <c r="I29" i="5"/>
  <c r="J15" i="5"/>
  <c r="K15" i="5" s="1"/>
  <c r="J49" i="5"/>
  <c r="K49" i="5" s="1"/>
  <c r="I63" i="5" s="1"/>
  <c r="J61" i="5"/>
  <c r="K61" i="5" s="1"/>
  <c r="P48" i="5"/>
  <c r="Q48" i="5" s="1"/>
  <c r="P15" i="5"/>
  <c r="Q15" i="5" s="1"/>
  <c r="J29" i="5"/>
  <c r="O68" i="1"/>
  <c r="M72" i="1" s="1"/>
  <c r="J85" i="1" l="1"/>
  <c r="I86" i="1" s="1"/>
  <c r="J63" i="1"/>
  <c r="M28" i="5"/>
  <c r="J79" i="5" s="1"/>
  <c r="V40" i="1" s="1"/>
  <c r="J50" i="5"/>
  <c r="K50" i="5" s="1"/>
  <c r="J51" i="5" s="1"/>
  <c r="K51" i="5" s="1"/>
  <c r="M61" i="5"/>
  <c r="L80" i="5" s="1"/>
  <c r="X41" i="1" s="1"/>
  <c r="L61" i="5"/>
  <c r="K80" i="5" s="1"/>
  <c r="W41" i="1" s="1"/>
  <c r="J16" i="5"/>
  <c r="K16" i="5" s="1"/>
  <c r="I30" i="5"/>
  <c r="K29" i="5"/>
  <c r="L29" i="5" s="1"/>
  <c r="I80" i="5" s="1"/>
  <c r="U41" i="1" s="1"/>
  <c r="J30" i="5"/>
  <c r="P16" i="5"/>
  <c r="Q16" i="5" s="1"/>
  <c r="J62" i="5"/>
  <c r="K62" i="5" s="1"/>
  <c r="M62" i="5" s="1"/>
  <c r="L81" i="5" s="1"/>
  <c r="X42" i="1" s="1"/>
  <c r="P49" i="5"/>
  <c r="Q49" i="5" s="1"/>
  <c r="I64" i="5" l="1"/>
  <c r="P17" i="5"/>
  <c r="Q17" i="5" s="1"/>
  <c r="P18" i="5" s="1"/>
  <c r="J86" i="1"/>
  <c r="I87" i="1" s="1"/>
  <c r="I64" i="1"/>
  <c r="J31" i="5"/>
  <c r="M29" i="5"/>
  <c r="J80" i="5" s="1"/>
  <c r="V41" i="1" s="1"/>
  <c r="L62" i="5"/>
  <c r="K81" i="5" s="1"/>
  <c r="W42" i="1" s="1"/>
  <c r="O42" i="1" s="1"/>
  <c r="K17" i="5"/>
  <c r="I31" i="5"/>
  <c r="K31" i="5" s="1"/>
  <c r="L31" i="5" s="1"/>
  <c r="I82" i="5" s="1"/>
  <c r="U43" i="1" s="1"/>
  <c r="P50" i="5"/>
  <c r="Q50" i="5" s="1"/>
  <c r="J63" i="5"/>
  <c r="K63" i="5" s="1"/>
  <c r="M63" i="5" s="1"/>
  <c r="L82" i="5" s="1"/>
  <c r="X43" i="1" s="1"/>
  <c r="K30" i="5"/>
  <c r="L30" i="5" s="1"/>
  <c r="I81" i="5" s="1"/>
  <c r="U42" i="1" s="1"/>
  <c r="I65" i="5"/>
  <c r="J52" i="5"/>
  <c r="K52" i="5" s="1"/>
  <c r="Q18" i="5" l="1"/>
  <c r="P42" i="1"/>
  <c r="C13" i="6"/>
  <c r="D13" i="6"/>
  <c r="I88" i="1"/>
  <c r="J64" i="1"/>
  <c r="L63" i="5"/>
  <c r="K82" i="5" s="1"/>
  <c r="W43" i="1" s="1"/>
  <c r="J18" i="5"/>
  <c r="K18" i="5" s="1"/>
  <c r="I32" i="5"/>
  <c r="P51" i="5"/>
  <c r="Q51" i="5" s="1"/>
  <c r="J64" i="5"/>
  <c r="K64" i="5" s="1"/>
  <c r="M64" i="5" s="1"/>
  <c r="L83" i="5" s="1"/>
  <c r="X44" i="1" s="1"/>
  <c r="M30" i="5"/>
  <c r="J81" i="5" s="1"/>
  <c r="V42" i="1" s="1"/>
  <c r="I42" i="1" s="1"/>
  <c r="J32" i="5"/>
  <c r="M31" i="5"/>
  <c r="J82" i="5" s="1"/>
  <c r="V43" i="1" s="1"/>
  <c r="I66" i="5"/>
  <c r="J53" i="5"/>
  <c r="K53" i="5" s="1"/>
  <c r="J33" i="5" l="1"/>
  <c r="J42" i="1"/>
  <c r="F13" i="6"/>
  <c r="I65" i="1"/>
  <c r="J87" i="1"/>
  <c r="E13" i="6"/>
  <c r="O43" i="1"/>
  <c r="P43" i="1" s="1"/>
  <c r="K32" i="5"/>
  <c r="L32" i="5" s="1"/>
  <c r="I83" i="5" s="1"/>
  <c r="U44" i="1" s="1"/>
  <c r="L64" i="5"/>
  <c r="K83" i="5" s="1"/>
  <c r="W44" i="1" s="1"/>
  <c r="J19" i="5"/>
  <c r="K19" i="5" s="1"/>
  <c r="I33" i="5"/>
  <c r="K33" i="5" s="1"/>
  <c r="L33" i="5" s="1"/>
  <c r="I84" i="5" s="1"/>
  <c r="U45" i="1" s="1"/>
  <c r="J65" i="5"/>
  <c r="K65" i="5" s="1"/>
  <c r="M65" i="5" s="1"/>
  <c r="L84" i="5" s="1"/>
  <c r="X45" i="1" s="1"/>
  <c r="P52" i="5"/>
  <c r="Q52" i="5" s="1"/>
  <c r="P19" i="5"/>
  <c r="Q19" i="5" s="1"/>
  <c r="I67" i="5"/>
  <c r="J54" i="5"/>
  <c r="K54" i="5" s="1"/>
  <c r="D14" i="6" l="1"/>
  <c r="C14" i="6"/>
  <c r="J65" i="1"/>
  <c r="O44" i="1"/>
  <c r="P44" i="1" s="1"/>
  <c r="I43" i="1"/>
  <c r="J43" i="1" s="1"/>
  <c r="M32" i="5"/>
  <c r="J83" i="5" s="1"/>
  <c r="V44" i="1" s="1"/>
  <c r="I34" i="5"/>
  <c r="J20" i="5"/>
  <c r="K20" i="5" s="1"/>
  <c r="L65" i="5"/>
  <c r="K84" i="5" s="1"/>
  <c r="W45" i="1" s="1"/>
  <c r="J66" i="5"/>
  <c r="K66" i="5" s="1"/>
  <c r="M66" i="5" s="1"/>
  <c r="L85" i="5" s="1"/>
  <c r="X46" i="1" s="1"/>
  <c r="P53" i="5"/>
  <c r="Q53" i="5" s="1"/>
  <c r="M33" i="5"/>
  <c r="J84" i="5" s="1"/>
  <c r="V45" i="1" s="1"/>
  <c r="I68" i="5"/>
  <c r="O45" i="1" l="1"/>
  <c r="P45" i="1" s="1"/>
  <c r="F14" i="6"/>
  <c r="C15" i="6"/>
  <c r="D15" i="6"/>
  <c r="I66" i="1"/>
  <c r="I44" i="1"/>
  <c r="J44" i="1" s="1"/>
  <c r="E14" i="6"/>
  <c r="J21" i="5"/>
  <c r="I35" i="5"/>
  <c r="L66" i="5"/>
  <c r="K85" i="5" s="1"/>
  <c r="W46" i="1" s="1"/>
  <c r="J67" i="5"/>
  <c r="K67" i="5" s="1"/>
  <c r="M67" i="5" s="1"/>
  <c r="L86" i="5" s="1"/>
  <c r="X47" i="1" s="1"/>
  <c r="P54" i="5"/>
  <c r="Q54" i="5" s="1"/>
  <c r="J68" i="5" s="1"/>
  <c r="K68" i="5" s="1"/>
  <c r="M68" i="5" s="1"/>
  <c r="L87" i="5" s="1"/>
  <c r="X48" i="1" s="1"/>
  <c r="J34" i="5"/>
  <c r="K34" i="5" s="1"/>
  <c r="L34" i="5" s="1"/>
  <c r="I85" i="5" s="1"/>
  <c r="U46" i="1" s="1"/>
  <c r="P20" i="5"/>
  <c r="Q20" i="5" s="1"/>
  <c r="D16" i="6" l="1"/>
  <c r="C16" i="6"/>
  <c r="K21" i="5"/>
  <c r="I36" i="5" s="1"/>
  <c r="F15" i="6"/>
  <c r="J66" i="1"/>
  <c r="E15" i="6"/>
  <c r="L67" i="5"/>
  <c r="K86" i="5" s="1"/>
  <c r="W47" i="1" s="1"/>
  <c r="O46" i="1"/>
  <c r="P46" i="1" s="1"/>
  <c r="M34" i="5"/>
  <c r="J85" i="5" s="1"/>
  <c r="V46" i="1" s="1"/>
  <c r="I45" i="1"/>
  <c r="J45" i="1" s="1"/>
  <c r="J35" i="5"/>
  <c r="K35" i="5" s="1"/>
  <c r="L35" i="5" s="1"/>
  <c r="I86" i="5" s="1"/>
  <c r="U47" i="1" s="1"/>
  <c r="P21" i="5"/>
  <c r="Q21" i="5" s="1"/>
  <c r="L68" i="5"/>
  <c r="K87" i="5" s="1"/>
  <c r="W48" i="1" s="1"/>
  <c r="F16" i="6" l="1"/>
  <c r="C17" i="6"/>
  <c r="D17" i="6"/>
  <c r="I67" i="1"/>
  <c r="E16" i="6"/>
  <c r="O47" i="1"/>
  <c r="I46" i="1"/>
  <c r="M35" i="5"/>
  <c r="J86" i="5" s="1"/>
  <c r="V47" i="1" s="1"/>
  <c r="J36" i="5"/>
  <c r="F17" i="6" l="1"/>
  <c r="D18" i="6"/>
  <c r="C18" i="6"/>
  <c r="J67" i="1"/>
  <c r="P47" i="1"/>
  <c r="J46" i="1"/>
  <c r="E17" i="6"/>
  <c r="K36" i="5"/>
  <c r="L36" i="5" s="1"/>
  <c r="I87" i="5" s="1"/>
  <c r="U48" i="1" s="1"/>
  <c r="I68" i="1" l="1"/>
  <c r="J68" i="1" s="1"/>
  <c r="I47" i="1"/>
  <c r="J47" i="1" s="1"/>
  <c r="O48" i="1"/>
  <c r="O49" i="1" s="1"/>
  <c r="M36" i="5"/>
  <c r="J87" i="5" s="1"/>
  <c r="V48" i="1" s="1"/>
  <c r="F18" i="6" l="1"/>
  <c r="M53" i="1"/>
  <c r="W71" i="1"/>
  <c r="D19" i="6"/>
  <c r="D20" i="6" s="1"/>
  <c r="W60" i="1" s="1"/>
  <c r="X62" i="1" s="1"/>
  <c r="C19" i="6"/>
  <c r="C20" i="6" s="1"/>
  <c r="W59" i="1" s="1"/>
  <c r="E18" i="6"/>
  <c r="K72" i="1"/>
  <c r="O72" i="1" s="1"/>
  <c r="I69" i="1"/>
  <c r="W72" i="1" s="1"/>
  <c r="X74" i="1" s="1"/>
  <c r="P48" i="1"/>
  <c r="M52" i="1" s="1"/>
  <c r="I48" i="1"/>
  <c r="J48" i="1" s="1"/>
  <c r="F19" i="6" l="1"/>
  <c r="F20" i="6" s="1"/>
  <c r="U59" i="1" s="1"/>
  <c r="V62" i="1" s="1"/>
  <c r="K73" i="1"/>
  <c r="O73" i="1" s="1"/>
  <c r="I49" i="1"/>
  <c r="I54" i="1" s="1"/>
  <c r="E19" i="6"/>
  <c r="E20" i="6" s="1"/>
  <c r="K52" i="1"/>
  <c r="O52" i="1" s="1"/>
  <c r="U71" i="1" l="1"/>
  <c r="V74" i="1" s="1"/>
  <c r="U72" i="1"/>
  <c r="U60" i="1"/>
  <c r="K53" i="1"/>
  <c r="O53" i="1" l="1"/>
</calcChain>
</file>

<file path=xl/sharedStrings.xml><?xml version="1.0" encoding="utf-8"?>
<sst xmlns="http://schemas.openxmlformats.org/spreadsheetml/2006/main" count="527" uniqueCount="282">
  <si>
    <t xml:space="preserve">Der henvises til Ark 2 for Benchmarking resultater brugt til beregning. </t>
  </si>
  <si>
    <t>-</t>
  </si>
  <si>
    <t>Cerius A/S</t>
  </si>
  <si>
    <t>Dinel A/S</t>
  </si>
  <si>
    <t>Evonet A/S</t>
  </si>
  <si>
    <t>FLOW ELNET A/S</t>
  </si>
  <si>
    <t>Hammel Elforsyning Net A/S</t>
  </si>
  <si>
    <t>Hjerting Transformatorforening</t>
  </si>
  <si>
    <t>Hurup Elværk Net A/S</t>
  </si>
  <si>
    <t>Kibæk Elværk a.m.b.a.</t>
  </si>
  <si>
    <t>Kjellerup Elnet A/S</t>
  </si>
  <si>
    <t>Konstant Net A/S</t>
  </si>
  <si>
    <t>Læsø Elnet A/S</t>
  </si>
  <si>
    <t>Midtfyns Elforsyning a.m.b.a.</t>
  </si>
  <si>
    <t>N1 A/S</t>
  </si>
  <si>
    <t>Nakskov Elnet A/S</t>
  </si>
  <si>
    <t>NOE Net A/S</t>
  </si>
  <si>
    <t>Nord Energi Net A/S</t>
  </si>
  <si>
    <t>Radius Elnet A/S</t>
  </si>
  <si>
    <t>RAH Net A/S</t>
  </si>
  <si>
    <t>RAVDEX A/S</t>
  </si>
  <si>
    <t>Sunds Elforsyning</t>
  </si>
  <si>
    <t>Tarm Elværk Net A/S</t>
  </si>
  <si>
    <t>Thy-Mors Energi Elnet A/S</t>
  </si>
  <si>
    <t>TRE-FOR El-Net A/S</t>
  </si>
  <si>
    <t>Vestjyske Net 60kV A/S</t>
  </si>
  <si>
    <t>Videbæk Elnet A/S</t>
  </si>
  <si>
    <t>Vildbjerg Elværk a.m.b.a.</t>
  </si>
  <si>
    <t>Vordingborg Elnet A/S</t>
  </si>
  <si>
    <t>Aal El-Net a.m.b.a.</t>
  </si>
  <si>
    <t>Aars-Hornum Net A/S</t>
  </si>
  <si>
    <t>Grindsted El-net A/S</t>
  </si>
  <si>
    <t>Vores Elnet A/S</t>
  </si>
  <si>
    <t>Ikast El Net A/S</t>
  </si>
  <si>
    <t>NKE Elnet A/S</t>
  </si>
  <si>
    <t>El-net Kongerslev A/S</t>
  </si>
  <si>
    <t>ELEKTRUS A/S</t>
  </si>
  <si>
    <t>VEKSEL A/S</t>
  </si>
  <si>
    <t>ELINORD A/S</t>
  </si>
  <si>
    <t>L-Net A/S</t>
  </si>
  <si>
    <t>El-Net Øst A/S</t>
  </si>
  <si>
    <t>Forsyning Elnet A/S</t>
  </si>
  <si>
    <t>Zeanet A/S</t>
  </si>
  <si>
    <t>N1 Hillerød A/S</t>
  </si>
  <si>
    <t>N1 Randers A/S</t>
  </si>
  <si>
    <t>Elnet Midt A/S</t>
  </si>
  <si>
    <t xml:space="preserve">TOTAL: </t>
  </si>
  <si>
    <t xml:space="preserve">Metode 2: Beregning af dynamisk potentiale </t>
  </si>
  <si>
    <t xml:space="preserve">Bund-spænd </t>
  </si>
  <si>
    <t>Top-spænd</t>
  </si>
  <si>
    <t>Bund-spænd</t>
  </si>
  <si>
    <t>Bund-skøn</t>
  </si>
  <si>
    <t>Top-skøn</t>
  </si>
  <si>
    <t xml:space="preserve">Metode 3: Beregning af indfrielse af potentiale </t>
  </si>
  <si>
    <t>Indfrielse pr år</t>
  </si>
  <si>
    <t>Tilbagestående udmøntningsgrundlag</t>
  </si>
  <si>
    <t>Til og med 2029 (til 2030)</t>
  </si>
  <si>
    <t>Kapital</t>
  </si>
  <si>
    <t>Indhentningshastighed</t>
  </si>
  <si>
    <t>Vægt i udmøntningsgrundlag</t>
  </si>
  <si>
    <t>Drift</t>
  </si>
  <si>
    <t>Forsigtighedshensyn</t>
  </si>
  <si>
    <t>2029-2030</t>
  </si>
  <si>
    <t>Samlet indfrielse</t>
  </si>
  <si>
    <t xml:space="preserve">Samlet indfrielse </t>
  </si>
  <si>
    <t>Samlet indfrielse fra og med 2020 til 2030</t>
  </si>
  <si>
    <t xml:space="preserve">Vægte for indfrielse jf. formel for udmøntning. </t>
  </si>
  <si>
    <t>Omkostningsramme 2018</t>
  </si>
  <si>
    <t>Omkostningsramme korrigeret for udmøntet krav</t>
  </si>
  <si>
    <t>Samlet generelt krav 2019</t>
  </si>
  <si>
    <t>Tilbagestående omkostningsbase</t>
  </si>
  <si>
    <t>* der henvises til Ark 3 for underliggende beregninger</t>
  </si>
  <si>
    <t>DRIFT</t>
  </si>
  <si>
    <t>Indfrielse per år</t>
  </si>
  <si>
    <t>KAPITAL</t>
  </si>
  <si>
    <t xml:space="preserve">KAPITAL </t>
  </si>
  <si>
    <t>SAMLET</t>
  </si>
  <si>
    <t>DRIFT VÆGT</t>
  </si>
  <si>
    <t>KAPITAL VÆGT</t>
  </si>
  <si>
    <t>DRIFT - top-spænd</t>
  </si>
  <si>
    <t>KAPITAL - top-spænd</t>
  </si>
  <si>
    <t>Størrelse i spænd</t>
  </si>
  <si>
    <t xml:space="preserve">Omkostningbase for effektive virksomheder i 2030 </t>
  </si>
  <si>
    <t>Individuelle krav 2019</t>
  </si>
  <si>
    <t>Samlet statisk potentiale</t>
  </si>
  <si>
    <t>PRODUKTIVITETSUDVIKLING TIL AT FINDE INDEKS</t>
  </si>
  <si>
    <t>Årlig vækstrate i pct.</t>
  </si>
  <si>
    <t>Markedsmæssig økonomi i alt</t>
  </si>
  <si>
    <t>Indeks</t>
  </si>
  <si>
    <t>Industri</t>
  </si>
  <si>
    <t>Årlig vækstrate i pct., 2010-priser, kædede værdier</t>
  </si>
  <si>
    <t>5-års glidende gennemsnit i pct.</t>
  </si>
  <si>
    <t xml:space="preserve">10-års glidende gennemsnit i pct. </t>
  </si>
  <si>
    <t xml:space="preserve">5-års glidende gennemsnit i pct. </t>
  </si>
  <si>
    <t xml:space="preserve">Beregning af drift- og kapital vægte baseret på tilbagestående udmøtning. </t>
  </si>
  <si>
    <t xml:space="preserve">*Indfrielse er opdelt i top og bund spænd, på baggrund af </t>
  </si>
  <si>
    <t>* der henvises til Ark 5 for underliggende beregninger</t>
  </si>
  <si>
    <t xml:space="preserve">Der henvises til Ark 3 og Ark 5 for bagvedliggende beregninger. </t>
  </si>
  <si>
    <t xml:space="preserve">Navn </t>
  </si>
  <si>
    <t>Indfrielse af ikke-opdelt udmøntning</t>
  </si>
  <si>
    <t>Potentiale m. loft</t>
  </si>
  <si>
    <t>Potentiale u. loft</t>
  </si>
  <si>
    <t xml:space="preserve">Generelt krav 2019  i pct. </t>
  </si>
  <si>
    <t>Navn</t>
  </si>
  <si>
    <t>5-års glidenden gennemsnit</t>
  </si>
  <si>
    <t>10-års glidende gennemsnit.</t>
  </si>
  <si>
    <t>Arbejdsproduktivitet</t>
  </si>
  <si>
    <t>Totalfaktorproduktivitet</t>
  </si>
  <si>
    <t>10-års glidende gennemsnit i pct.</t>
  </si>
  <si>
    <t xml:space="preserve">indfrier. Disse vægte bliver brug til korrektion i beregning i den egentlige indfrielse. Vægtene sørger for at indfrielse af drift ikke overestimeres og indfrielse af kapital ikke underestimeres. Der beregnes separat for top- og bund-spænd. </t>
  </si>
  <si>
    <t xml:space="preserve">Det noteres der ikke umiddekbart er forskelle i vægtene mellem top- og bund-spænd.  Siden enkelte år ikke bruges til samlet indfrielse OG indfrielsen rundes til nærmeste mio. har det ikke betydning for skønnet på indfrielsen. </t>
  </si>
  <si>
    <t>Generelle krav 2019</t>
  </si>
  <si>
    <t>Generelle krav 2020</t>
  </si>
  <si>
    <t>Korrigeret for effektivisering (2018-2019)</t>
  </si>
  <si>
    <t>Individuelle krav 2020</t>
  </si>
  <si>
    <t>Det generelle krav 2019</t>
  </si>
  <si>
    <t>Det individuelle krav 2019</t>
  </si>
  <si>
    <t>Generelt krav udmøntet i 2018-2019</t>
  </si>
  <si>
    <t>Generelt krav for indfrielse (1 pct.)</t>
  </si>
  <si>
    <t>**Korrigeret for dobbelttælling</t>
  </si>
  <si>
    <t>*jf. formel bilag 2 metode 4 i bekendtgørelse for IR 2019</t>
  </si>
  <si>
    <t xml:space="preserve">med et spænd på </t>
  </si>
  <si>
    <t>TOTAL</t>
  </si>
  <si>
    <t>Individuelle krav i 2020</t>
  </si>
  <si>
    <t xml:space="preserve">** Virksomheder der får det generelle krav  men tæller </t>
  </si>
  <si>
    <t>SAND: får individuelt krav. FALSK: får generelt krav.</t>
  </si>
  <si>
    <t xml:space="preserve">med korrektion for dobbelttælling. </t>
  </si>
  <si>
    <t>med korrektion for dobbelttælling og effektivisering</t>
  </si>
  <si>
    <t>Omkostningsramme</t>
  </si>
  <si>
    <t>Kilde: Danmarks Statistik, Statistikbanken NP23 og NP25 og egne beregninger</t>
  </si>
  <si>
    <t xml:space="preserve">Korrektion for effektivisering af individuelle effektiviseringskrav 2018 - 2019. </t>
  </si>
  <si>
    <t xml:space="preserve">I Ark 1 præsenteres alle hovedberegningerne og hovedresultaterne. Der henvises løbende til de resterende ark for bagvedliggende regninger. Alle beregninger og resultater er i 2018-priser. </t>
  </si>
  <si>
    <t xml:space="preserve">Indfrielse af det generelle krav, boks 2. </t>
  </si>
  <si>
    <t>Indfrielse af individuelle krav, boks 1</t>
  </si>
  <si>
    <r>
      <rPr>
        <b/>
        <sz val="11"/>
        <color theme="1"/>
        <rFont val="Calibri"/>
        <family val="2"/>
        <scheme val="minor"/>
      </rPr>
      <t>Note:</t>
    </r>
    <r>
      <rPr>
        <sz val="11"/>
        <color theme="1"/>
        <rFont val="Calibri"/>
        <family val="2"/>
        <scheme val="minor"/>
      </rPr>
      <t xml:space="preserve"> Det bemærkes de årlige mellemregninger i boks 1 og 2,  ikke skal forstås som præcise resultater, idet der beregnes et skøn over indfrielsen. Dette gælder både for indfrielsen af det individuelle- og generelle krav. </t>
    </r>
  </si>
  <si>
    <t>Statisk potentiale korrigeret for dobbelttælling</t>
  </si>
  <si>
    <t>BOKS 1: BEREGNING AF INDIVIDUELLE EFFEKTIVISRINGSKRAV</t>
  </si>
  <si>
    <t>BOKS 2 OG BOKS 3: BEREGNING TIL KORREKTION FOR DOBBELTTÆLLING OG EFFEKTIVISERING I 2018 - 2019</t>
  </si>
  <si>
    <t>Udmøntnings-grundlag</t>
  </si>
  <si>
    <t>Sandt?</t>
  </si>
  <si>
    <t>1. Hovedresultater</t>
  </si>
  <si>
    <t>Samlet effektiviseringskrav 2020</t>
  </si>
  <si>
    <t>Total</t>
  </si>
  <si>
    <t xml:space="preserve">NØGLETAL BRUGT FOR VALG AF INTERVAL, i pct. </t>
  </si>
  <si>
    <r>
      <rPr>
        <b/>
        <sz val="11"/>
        <color theme="1"/>
        <rFont val="Arial"/>
        <family val="2"/>
      </rPr>
      <t>Note 1</t>
    </r>
    <r>
      <rPr>
        <sz val="11"/>
        <color theme="1"/>
        <rFont val="Arial"/>
        <family val="2"/>
      </rPr>
      <t xml:space="preserve">: 5.års og 10-års glidende gennemsnit er beregnet med 2016 som sidste observation. </t>
    </r>
  </si>
  <si>
    <t>Totalfaktorproduktivitet i industri og markedsmæssig økonomi. (Årlig vækst rate, årlig vækst rate 5-års glidende gennemsnit, indeksering og årlig vækst rate 10-års glidende gennemsnit)</t>
  </si>
  <si>
    <t>Arbejdsproduktivitet i markedsmæssig økonomi økonomi. (Årlig vækst rate, årlig vækst rate 5-års glidende gennemsnit, indeksering og årlig vækst rate 10-års glidende gennemsnit)</t>
  </si>
  <si>
    <t>Vægte på drift og kapital til at korrigere for indhentning i fælles udmøntningsformel</t>
  </si>
  <si>
    <t>Statisk potentiale vægtet mellem kapital og drift jf. formel for udmøntning</t>
  </si>
  <si>
    <t>med et spænd på</t>
  </si>
  <si>
    <t xml:space="preserve">den dynamiske udvikling. Streger markerer nye reguleringsperioder </t>
  </si>
  <si>
    <t xml:space="preserve">Boks 1, Ark 1: Indfrielse af individuelle krav med loft. </t>
  </si>
  <si>
    <t xml:space="preserve">Bund spænd: </t>
  </si>
  <si>
    <t>Top-spænd:</t>
  </si>
  <si>
    <t xml:space="preserve">Forbrugergevinster ligger i et spænd på: </t>
  </si>
  <si>
    <t>med i det statiske potentiale. Summen af disse giver</t>
  </si>
  <si>
    <t>Individuelle effektiviseringskrav i BM 2019:</t>
  </si>
  <si>
    <t>Boks 3, Ark 1: Vægte til korrektion, jf. Ark 5</t>
  </si>
  <si>
    <t>Potentiale med loft</t>
  </si>
  <si>
    <t>Potentiale uden loft</t>
  </si>
  <si>
    <t>*Boks 4, Ark 1: Forbruger gevinster. Akkumulerede generelle og individulle effektiviseringskrav</t>
  </si>
  <si>
    <t>Forbrugergevinst</t>
  </si>
  <si>
    <t>Andel i forhold til hele udmøntningsgrundlag</t>
  </si>
  <si>
    <t>Individuelt potentiale med korrektion</t>
  </si>
  <si>
    <t xml:space="preserve">Det individuelle potentiale skøn ligger i intervallet: </t>
  </si>
  <si>
    <r>
      <t xml:space="preserve">Årlig effektivieringspotentiale for ineffektive virksomheder </t>
    </r>
    <r>
      <rPr>
        <i/>
        <sz val="11"/>
        <color theme="1"/>
        <rFont val="Arial"/>
        <family val="2"/>
      </rPr>
      <t>i 2030</t>
    </r>
    <r>
      <rPr>
        <sz val="11"/>
        <color theme="1"/>
        <rFont val="Arial"/>
        <family val="2"/>
      </rPr>
      <t xml:space="preserve">: </t>
    </r>
  </si>
  <si>
    <t xml:space="preserve">Boks 5, Ark 1: Årlig indfrielse af det samlet potentiale. </t>
  </si>
  <si>
    <t>Driftsomkostninger</t>
  </si>
  <si>
    <t>Afskrivninger</t>
  </si>
  <si>
    <t>CERIUS A/S</t>
  </si>
  <si>
    <t>DINEL A/S</t>
  </si>
  <si>
    <t>ELNET MIDT A/S</t>
  </si>
  <si>
    <t>EL-NET ØST A/S</t>
  </si>
  <si>
    <t>EVONET A/S</t>
  </si>
  <si>
    <t>FORSYNING ELNET A/S</t>
  </si>
  <si>
    <t>GEV NET A/S</t>
  </si>
  <si>
    <t>HAMMEL ELFORSYNING NET A/S</t>
  </si>
  <si>
    <t>HJERTING TRANSFORMATORFORENING</t>
  </si>
  <si>
    <t>HURUP ELVÆRK NET A/S</t>
  </si>
  <si>
    <t>IKAST VÆRKERNE NET A/S</t>
  </si>
  <si>
    <t>KIBÆK ELVÆRK A.M.B.A</t>
  </si>
  <si>
    <t>KJELLERUP ELNET A/S</t>
  </si>
  <si>
    <t>KONGERSLEV ELNET APS</t>
  </si>
  <si>
    <t>KONSTANT A/S</t>
  </si>
  <si>
    <t>L-NET A/S</t>
  </si>
  <si>
    <t>LÆSØ ELNET</t>
  </si>
  <si>
    <t>MIDTFYNS ELFORSYNING A.M.B.A</t>
  </si>
  <si>
    <t>N1 HILLERØD A/S</t>
  </si>
  <si>
    <t>N1 RANDERS A/S</t>
  </si>
  <si>
    <t>NAKSKOV ELNET A/S</t>
  </si>
  <si>
    <t>NKE-ELNET A/S</t>
  </si>
  <si>
    <t>NOE ELNET A/S</t>
  </si>
  <si>
    <t>NORD ENERGI NET A/S</t>
  </si>
  <si>
    <t>RADIUS ELNET A/S</t>
  </si>
  <si>
    <t>RAH A/S</t>
  </si>
  <si>
    <t>SUNDS ELFORSYNING A.M.B.A</t>
  </si>
  <si>
    <t>TARM ELVÆRK NET A/S</t>
  </si>
  <si>
    <t>THY-MORS ENERGI ELNET A/S</t>
  </si>
  <si>
    <t>TRE-FOR EL-NET A/S</t>
  </si>
  <si>
    <t>VESTJYSKE NET 60 KV A/S</t>
  </si>
  <si>
    <t>VIDEBÆK ELNET A/S</t>
  </si>
  <si>
    <t>VILDBJERG ELVÆRK A.M.B.A</t>
  </si>
  <si>
    <t>VORDINGBORG ELNET A/S</t>
  </si>
  <si>
    <t>VORES ELNET A/S</t>
  </si>
  <si>
    <t>ZEANET A/S</t>
  </si>
  <si>
    <t>AAL EL-NET A.M.B.A</t>
  </si>
  <si>
    <t>AARS-HORNUM NET A/S</t>
  </si>
  <si>
    <t>Nettab</t>
  </si>
  <si>
    <t>Særlige omkostninger</t>
  </si>
  <si>
    <t>Der henvises til Ark 1.2 for beregning af omkostningsgrundlaget, og til Ark 4 for produktivitetsudviklingen.</t>
  </si>
  <si>
    <r>
      <rPr>
        <b/>
        <sz val="11"/>
        <color theme="1"/>
        <rFont val="Arial"/>
        <family val="2"/>
      </rPr>
      <t>Note 2:</t>
    </r>
    <r>
      <rPr>
        <sz val="11"/>
        <color theme="1"/>
        <rFont val="Arial"/>
        <family val="2"/>
      </rPr>
      <t xml:space="preserve"> FSTS  har valgt at bruge et interval  på 0.5 - 1.0 pct. for den generelle produktivitetsudvikling i økonomien. </t>
    </r>
  </si>
  <si>
    <t>Med korrektion for dobbelttælling</t>
  </si>
  <si>
    <t xml:space="preserve">Uden korrektion for dobbeltælling - alle virksomheder. </t>
  </si>
  <si>
    <t xml:space="preserve">Med 1 pct. </t>
  </si>
  <si>
    <t xml:space="preserve">Med 0.5 pct. </t>
  </si>
  <si>
    <t>**Omkostningsramme for u. korrektion for dt.</t>
  </si>
  <si>
    <t>**der er ikke korrigeret for udmøntet krav fra 2018 - 2019</t>
  </si>
  <si>
    <r>
      <t xml:space="preserve">Omkostningsgrundlaget for </t>
    </r>
    <r>
      <rPr>
        <i/>
        <sz val="11"/>
        <color theme="1"/>
        <rFont val="Arial"/>
        <family val="2"/>
      </rPr>
      <t>alle</t>
    </r>
    <r>
      <rPr>
        <sz val="11"/>
        <color theme="1"/>
        <rFont val="Arial"/>
        <family val="2"/>
      </rPr>
      <t xml:space="preserve"> virksomheder</t>
    </r>
  </si>
  <si>
    <t xml:space="preserve">Generelle produktivitetsudvikling: </t>
  </si>
  <si>
    <t xml:space="preserve">Generelt potentiale </t>
  </si>
  <si>
    <t xml:space="preserve">Forbrugergenvinster opdelt i potentiale med og uden loft, i.e. top og bund skøn. </t>
  </si>
  <si>
    <t>Uden loft - topskøn</t>
  </si>
  <si>
    <t>Uden loft</t>
  </si>
  <si>
    <t>Med loft</t>
  </si>
  <si>
    <t>Individuelle potentiale m. loft, korrigeret dobbeltælling</t>
  </si>
  <si>
    <t>Individuelle potentiale u. loft, korrigeret dobbelttælling</t>
  </si>
  <si>
    <t>Kapitalbindingsomkostninger</t>
  </si>
  <si>
    <t>Omkostningsgrund m. kapitalbinding</t>
  </si>
  <si>
    <t xml:space="preserve">Boks 6, Ark 1: Indfrielse af generelle krav med 0.5 pct. </t>
  </si>
  <si>
    <t xml:space="preserve">Boks 2, Ark 1: Indfrielse af generelle krav med 1 pct. </t>
  </si>
  <si>
    <t>Omkostningsgrundlaget korrigeret for effektivisering i 2019</t>
  </si>
  <si>
    <t>Uden loft - bundskøn</t>
  </si>
  <si>
    <t>Topspænd</t>
  </si>
  <si>
    <t>Bundspænd</t>
  </si>
  <si>
    <t>Med loft - bundskøn</t>
  </si>
  <si>
    <t xml:space="preserve">Skøn af årlig indfrielse af det samet potentiale. </t>
  </si>
  <si>
    <t>Med loft - topskøn</t>
  </si>
  <si>
    <t xml:space="preserve">NB. Bundskøn står for det generelle krav beregnet som 0.5 pct.  Topskøn står for det generelle krav beregnet som 1 pct. </t>
  </si>
  <si>
    <t>Omkostningsgrundlag uden for kapitalbinding</t>
  </si>
  <si>
    <t xml:space="preserve">I Ark 3 præsenteres og beregnes omkostningsgrundlaget som bruges til at beregne det generelle potentiale.  </t>
  </si>
  <si>
    <t>3. Omkostningsgrundlag for det generelle potentiale</t>
  </si>
  <si>
    <t>4. Benchmarking resultater 2019</t>
  </si>
  <si>
    <t xml:space="preserve">I Ark 4 præsenteres BM resultater for Benchmarking 2019. Hver række opgør en virksomhed,  der præsenterer den pågåældende virksomheds BM resultater. Sidste række summerer BM resultaterne, og derfra beregnes det statiske potentiale. </t>
  </si>
  <si>
    <t xml:space="preserve">5. Omkostningsramme for effektive virksomheder </t>
  </si>
  <si>
    <t xml:space="preserve">Omkostningsrammen er trukket ud fra Ark 4.  </t>
  </si>
  <si>
    <t xml:space="preserve">I Ark 5 beregnes omkostningrammen til beregning af indfrielse af de generelle krav. Omkostningsrammen for effektive virksomheder beregnes og korrigeres for individuelle krav 2019 jf. dobbeltælling. Den korrigeres yderligere for effektivisering af de </t>
  </si>
  <si>
    <t>effektive virksomheder i 2018 -2019. Resultaterne bruges til at finde den rigtige omkostningsbase for beregning af indfrielse for de generelle krav.</t>
  </si>
  <si>
    <t>Omkostningsramme for effektive virksomheder 2019</t>
  </si>
  <si>
    <t>Omkostningsramme for effektive virksomheder 2020</t>
  </si>
  <si>
    <t>6. Produktivitetsudvikling data</t>
  </si>
  <si>
    <t>Ark 6 er et overblik over det data FSTS har brugt til at fastsætte et spænd for fremskrivning af det statiske potentiale. Data er hentet fra Statistikbanken, hvorefter FSTS har lavet yderligere beregninger. Nedest i arket er der en tabel over nøgletal.</t>
  </si>
  <si>
    <t xml:space="preserve">7. Vægte til brug for indfrielse af individuelle krav </t>
  </si>
  <si>
    <t>Ark 7 beregner vægte til brug for indfrielse af det individuelle krav. Først beregnes indfrielse af det statiske potentiale, når kapital og drift er opdelt. Derefter beregnes vægtene for hvor stor en andel kapital indfrier og hvor stor en andel drift</t>
  </si>
  <si>
    <t>Boks 1, Ark 7: Nødvendige tal for beregning</t>
  </si>
  <si>
    <t xml:space="preserve">Boks 3, Ark 7: Beregning af indfrielse af drift og kapital opdelt baseret på vægte i formel for udmøntning. Beregnes med top-spænd i dynamisk potentiale. </t>
  </si>
  <si>
    <t xml:space="preserve">Boks 4, Ark 7: endelige vægte for brug til beregning af indfrielse 2030. </t>
  </si>
  <si>
    <t xml:space="preserve">Boks 2, Ark 7: Beregning af indfrielse af drift og kapital opdelt baseret på vægte i formel for udmøntning. Beregnes ud fra potentiale m. loft. </t>
  </si>
  <si>
    <t>Statisk potentiale med loft</t>
  </si>
  <si>
    <t>Statisk potentiale uden loft</t>
  </si>
  <si>
    <t>Individuelt potentiale uden loft</t>
  </si>
  <si>
    <t xml:space="preserve"> </t>
  </si>
  <si>
    <t xml:space="preserve">* Se Ark 2 for beregninger </t>
  </si>
  <si>
    <t>Generelt krav for indfrielse (0.5 pct.)</t>
  </si>
  <si>
    <t>2. Forbrugerbesparelser</t>
  </si>
  <si>
    <t xml:space="preserve">Ark 2 beregner forbrugerbespareser af den beregnede indfrielse. </t>
  </si>
  <si>
    <t>Boks 1, Ark 2: Beregning af forbrugergevinster for individuelle potentiale med loft og individuelle potentiale uden loft</t>
  </si>
  <si>
    <t>Boks 1, Ark 3: Omkostningsgrundlag og dets delkomponenter fordelt på netvirksomhederne</t>
  </si>
  <si>
    <t xml:space="preserve">Boks 1, Ark 4: BM resultater 2019. </t>
  </si>
  <si>
    <t xml:space="preserve">Boks 2, Ark 4: Generelle- og individuelle krav for virksomhederne i 2020. Individuelle krav 2020 er krav fra resultaterne i  BM 2019. </t>
  </si>
  <si>
    <t xml:space="preserve">Boks 3, Ark 4: Generelle- og individuelle krav for virksomhederne i 2019. Individuelle krav 2019 er  krav  fra resultaterne i BM 2018. </t>
  </si>
  <si>
    <r>
      <rPr>
        <i/>
        <sz val="11"/>
        <color theme="1"/>
        <rFont val="Arial"/>
        <family val="2"/>
      </rPr>
      <t>Boks 1, Ark 5: Omkostningsramme primo 2019 for virksomhederne. Individuelt krav: 0. Generelt krav: 1</t>
    </r>
    <r>
      <rPr>
        <sz val="11"/>
        <color theme="1"/>
        <rFont val="Arial"/>
        <family val="2"/>
      </rPr>
      <t xml:space="preserve">. </t>
    </r>
  </si>
  <si>
    <t xml:space="preserve">Boks 2, Ark 5: Korrektion af omkostningsrammen </t>
  </si>
  <si>
    <t>NB. Bundspænd er når det generelle krav er på 0.5 pct. og topspænd er når det generelle krav er på 1 pct.</t>
  </si>
  <si>
    <t>Individuelle effektiviseringspotentiale</t>
  </si>
  <si>
    <t>Individuelle effektiviseringspotentiale u. loft.</t>
  </si>
  <si>
    <t xml:space="preserve">Realiseret krav </t>
  </si>
  <si>
    <t>Metode 1: Beregning af statisk potentiale</t>
  </si>
  <si>
    <t xml:space="preserve">Individuelt potentiale </t>
  </si>
  <si>
    <t xml:space="preserve">Det samlede potentiale ligger i intervallet </t>
  </si>
  <si>
    <t xml:space="preserve">i det statiske. </t>
  </si>
  <si>
    <r>
      <t>FALSK =</t>
    </r>
    <r>
      <rPr>
        <sz val="11"/>
        <color theme="1"/>
        <rFont val="Arial"/>
        <family val="2"/>
      </rPr>
      <t xml:space="preserve"> virksomheder med det generelle krav men tæller med</t>
    </r>
  </si>
  <si>
    <t xml:space="preserve">Note: 0 betyder virksomheden får det individuelle krav. 1 betyder virksomheden får det generelle krav.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</si>
</sst>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0\ &quot;kr.&quot;;[Red]\-#,##0\ &quot;kr.&quot;"/>
    <numFmt numFmtId="8" formatCode="#,##0.00\ &quot;kr.&quot;;[Red]\-#,##0.00\ &quot;kr.&quot;"/>
    <numFmt numFmtId="44" formatCode="_-* #,##0.00\ &quot;kr.&quot;_-;\-* #,##0.00\ &quot;kr.&quot;_-;_-* &quot;-&quot;??\ &quot;kr.&quot;_-;_-@_-"/>
    <numFmt numFmtId="43" formatCode="_-* #,##0.00_-;\-* #,##0.00_-;_-* &quot;-&quot;??_-;_-@_-"/>
    <numFmt numFmtId="164" formatCode="0.000"/>
    <numFmt numFmtId="165" formatCode="#,##0\ &quot;kr.&quot;"/>
    <numFmt numFmtId="166" formatCode="#,##0.00\ &quot;kr.&quot;"/>
    <numFmt numFmtId="167" formatCode="0.0"/>
    <numFmt numFmtId="168" formatCode="0.0000"/>
    <numFmt numFmtId="169" formatCode="0.00000"/>
    <numFmt numFmtId="170" formatCode="_-* #,##0_-;\-* #,##0_-;_-* &quot;-&quot;??_-;_-@_-"/>
    <numFmt numFmtId="171" formatCode="_-* #,##0.000_-;\-* #,##0.000_-;_-* &quot;-&quot;??_-;_-@_-"/>
    <numFmt numFmtId="172" formatCode="0.00000000"/>
  </numFmts>
  <fonts count="25">
    <font>
      <sz val="11"/>
      <color theme="1"/>
      <name val="Calibri"/>
      <family val="2"/>
      <scheme val="minor"/>
    </font>
    <font>
      <sz val="11"/>
      <color theme="1"/>
      <name val="Calibri"/>
      <family val="2"/>
      <scheme val="minor"/>
    </font>
    <font>
      <sz val="11"/>
      <color rgb="FF006100"/>
      <name val="Calibri"/>
      <family val="2"/>
      <scheme val="minor"/>
    </font>
    <font>
      <sz val="11"/>
      <color rgb="FF9C6500"/>
      <name val="Calibri"/>
      <family val="2"/>
      <scheme val="minor"/>
    </font>
    <font>
      <b/>
      <sz val="11"/>
      <color theme="1"/>
      <name val="Calibri"/>
      <family val="2"/>
      <scheme val="minor"/>
    </font>
    <font>
      <sz val="11"/>
      <color theme="0"/>
      <name val="Calibri"/>
      <family val="2"/>
      <scheme val="minor"/>
    </font>
    <font>
      <sz val="11"/>
      <color theme="1"/>
      <name val="Arial"/>
      <family val="2"/>
    </font>
    <font>
      <b/>
      <sz val="11"/>
      <color theme="1"/>
      <name val="Arial"/>
      <family val="2"/>
    </font>
    <font>
      <i/>
      <sz val="11"/>
      <color theme="1"/>
      <name val="Arial"/>
      <family val="2"/>
    </font>
    <font>
      <sz val="11"/>
      <color rgb="FF006100"/>
      <name val="Arial"/>
      <family val="2"/>
    </font>
    <font>
      <b/>
      <sz val="11"/>
      <name val="Arial"/>
      <family val="2"/>
    </font>
    <font>
      <b/>
      <sz val="15"/>
      <color theme="1"/>
      <name val="Arial"/>
      <family val="2"/>
    </font>
    <font>
      <sz val="11"/>
      <name val="Arial"/>
      <family val="2"/>
    </font>
    <font>
      <b/>
      <sz val="11"/>
      <color rgb="FF3F3F3F"/>
      <name val="Calibri"/>
      <family val="2"/>
      <scheme val="minor"/>
    </font>
    <font>
      <sz val="15"/>
      <color theme="1"/>
      <name val="Arial"/>
      <family val="2"/>
    </font>
    <font>
      <sz val="14"/>
      <color theme="1"/>
      <name val="Arial"/>
      <family val="2"/>
    </font>
    <font>
      <b/>
      <sz val="11"/>
      <color rgb="FF3F3F3F"/>
      <name val="Arial"/>
      <family val="2"/>
    </font>
    <font>
      <sz val="12"/>
      <color theme="1"/>
      <name val="Arial"/>
      <family val="2"/>
    </font>
    <font>
      <b/>
      <sz val="14"/>
      <color theme="1"/>
      <name val="Arial"/>
      <family val="2"/>
    </font>
    <font>
      <sz val="11"/>
      <color rgb="FFFF0000"/>
      <name val="Arial"/>
      <family val="2"/>
    </font>
    <font>
      <sz val="11"/>
      <color theme="0"/>
      <name val="Arial"/>
      <family val="2"/>
    </font>
    <font>
      <b/>
      <sz val="11"/>
      <color indexed="8"/>
      <name val="Calibri"/>
      <family val="2"/>
    </font>
    <font>
      <b/>
      <sz val="10"/>
      <color theme="1"/>
      <name val="Arial"/>
      <family val="2"/>
    </font>
    <font>
      <sz val="11"/>
      <color rgb="FFFF0000"/>
      <name val="Calibri"/>
      <family val="2"/>
      <scheme val="minor"/>
    </font>
    <font>
      <i/>
      <sz val="11"/>
      <color theme="1"/>
      <name val="arial "/>
    </font>
  </fonts>
  <fills count="15">
    <fill>
      <patternFill patternType="none"/>
    </fill>
    <fill>
      <patternFill patternType="gray125"/>
    </fill>
    <fill>
      <patternFill patternType="solid">
        <fgColor rgb="FFC6EFCE"/>
      </patternFill>
    </fill>
    <fill>
      <patternFill patternType="solid">
        <fgColor rgb="FFFFEB9C"/>
      </patternFill>
    </fill>
    <fill>
      <patternFill patternType="solid">
        <fgColor theme="5"/>
      </patternFill>
    </fill>
    <fill>
      <patternFill patternType="solid">
        <fgColor theme="9" tint="0.59999389629810485"/>
        <bgColor indexed="65"/>
      </patternFill>
    </fill>
    <fill>
      <patternFill patternType="solid">
        <fgColor theme="6" tint="0.59999389629810485"/>
        <bgColor indexed="65"/>
      </patternFill>
    </fill>
    <fill>
      <patternFill patternType="solid">
        <fgColor theme="4" tint="0.59999389629810485"/>
        <bgColor indexed="65"/>
      </patternFill>
    </fill>
    <fill>
      <patternFill patternType="solid">
        <fgColor theme="8" tint="0.59999389629810485"/>
        <bgColor indexed="65"/>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2F2F2"/>
      </patternFill>
    </fill>
    <fill>
      <patternFill patternType="solid">
        <fgColor theme="4" tint="0.79998168889431442"/>
        <bgColor indexed="65"/>
      </patternFill>
    </fill>
    <fill>
      <patternFill patternType="solid">
        <fgColor theme="8"/>
      </patternFill>
    </fill>
  </fills>
  <borders count="41">
    <border>
      <left/>
      <right/>
      <top/>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rgb="FFB2B2B2"/>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s>
  <cellStyleXfs count="15">
    <xf numFmtId="0" fontId="0" fillId="0" borderId="0"/>
    <xf numFmtId="0" fontId="2" fillId="2" borderId="0" applyNumberFormat="0" applyBorder="0" applyAlignment="0" applyProtection="0"/>
    <xf numFmtId="0" fontId="3" fillId="3"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3" fillId="12" borderId="39" applyNumberFormat="0" applyAlignment="0" applyProtection="0"/>
    <xf numFmtId="0" fontId="1" fillId="13"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1" fillId="5"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308">
    <xf numFmtId="0" fontId="0" fillId="0" borderId="0" xfId="0"/>
    <xf numFmtId="0" fontId="0" fillId="0" borderId="0" xfId="0"/>
    <xf numFmtId="0" fontId="0" fillId="0" borderId="0" xfId="0"/>
    <xf numFmtId="6" fontId="0" fillId="0" borderId="0" xfId="0" applyNumberFormat="1"/>
    <xf numFmtId="0" fontId="0" fillId="0" borderId="0" xfId="0" applyBorder="1"/>
    <xf numFmtId="0" fontId="0" fillId="0" borderId="0" xfId="0"/>
    <xf numFmtId="0" fontId="0" fillId="0" borderId="1" xfId="0" applyBorder="1"/>
    <xf numFmtId="0" fontId="0" fillId="0" borderId="10" xfId="0" applyBorder="1"/>
    <xf numFmtId="0" fontId="0" fillId="0" borderId="11" xfId="0" applyBorder="1"/>
    <xf numFmtId="0" fontId="0" fillId="0" borderId="12" xfId="0" applyBorder="1"/>
    <xf numFmtId="0" fontId="0" fillId="0" borderId="2" xfId="0" applyBorder="1"/>
    <xf numFmtId="0" fontId="0" fillId="0" borderId="13" xfId="0" applyBorder="1"/>
    <xf numFmtId="0" fontId="0" fillId="0" borderId="3" xfId="0" applyBorder="1"/>
    <xf numFmtId="0" fontId="0" fillId="0" borderId="4" xfId="0" applyBorder="1"/>
    <xf numFmtId="0" fontId="0" fillId="0" borderId="28" xfId="0" applyBorder="1"/>
    <xf numFmtId="0" fontId="6" fillId="9" borderId="0" xfId="0" applyFont="1" applyFill="1"/>
    <xf numFmtId="0" fontId="11" fillId="9" borderId="0" xfId="0" applyFont="1" applyFill="1"/>
    <xf numFmtId="0" fontId="6" fillId="9" borderId="1" xfId="0" applyFont="1" applyFill="1" applyBorder="1"/>
    <xf numFmtId="0" fontId="7" fillId="9" borderId="0" xfId="0" applyFont="1" applyFill="1" applyBorder="1"/>
    <xf numFmtId="0" fontId="7" fillId="9" borderId="0" xfId="0" applyFont="1" applyFill="1"/>
    <xf numFmtId="0" fontId="8" fillId="9" borderId="0" xfId="0" applyFont="1" applyFill="1"/>
    <xf numFmtId="0" fontId="6" fillId="9" borderId="14" xfId="0" applyFont="1" applyFill="1" applyBorder="1"/>
    <xf numFmtId="0" fontId="6" fillId="9" borderId="23" xfId="0" applyFont="1" applyFill="1" applyBorder="1"/>
    <xf numFmtId="0" fontId="6" fillId="9" borderId="0" xfId="0" applyFont="1" applyFill="1" applyBorder="1"/>
    <xf numFmtId="166" fontId="6" fillId="9" borderId="0" xfId="0" applyNumberFormat="1" applyFont="1" applyFill="1" applyBorder="1"/>
    <xf numFmtId="168" fontId="6" fillId="9" borderId="0" xfId="0" applyNumberFormat="1" applyFont="1" applyFill="1" applyBorder="1"/>
    <xf numFmtId="165" fontId="6" fillId="9" borderId="0" xfId="0" applyNumberFormat="1" applyFont="1" applyFill="1" applyBorder="1"/>
    <xf numFmtId="2" fontId="6" fillId="9" borderId="0" xfId="0" applyNumberFormat="1" applyFont="1" applyFill="1"/>
    <xf numFmtId="0" fontId="7" fillId="9" borderId="2" xfId="0" applyFont="1" applyFill="1" applyBorder="1"/>
    <xf numFmtId="0" fontId="6" fillId="9" borderId="2" xfId="0" applyFont="1" applyFill="1" applyBorder="1"/>
    <xf numFmtId="165" fontId="6" fillId="9" borderId="2" xfId="0" applyNumberFormat="1" applyFont="1" applyFill="1" applyBorder="1"/>
    <xf numFmtId="0" fontId="7" fillId="9" borderId="28" xfId="0" applyFont="1" applyFill="1" applyBorder="1"/>
    <xf numFmtId="0" fontId="6" fillId="9" borderId="28" xfId="0" applyFont="1" applyFill="1" applyBorder="1"/>
    <xf numFmtId="165" fontId="6" fillId="9" borderId="30" xfId="0" applyNumberFormat="1" applyFont="1" applyFill="1" applyBorder="1"/>
    <xf numFmtId="0" fontId="7" fillId="9" borderId="5" xfId="0" applyFont="1" applyFill="1" applyBorder="1"/>
    <xf numFmtId="0" fontId="6" fillId="9" borderId="5" xfId="0" applyFont="1" applyFill="1" applyBorder="1"/>
    <xf numFmtId="165" fontId="9" fillId="9" borderId="29" xfId="1" applyNumberFormat="1" applyFont="1" applyFill="1" applyBorder="1"/>
    <xf numFmtId="165" fontId="6" fillId="9" borderId="1" xfId="0" applyNumberFormat="1" applyFont="1" applyFill="1" applyBorder="1"/>
    <xf numFmtId="0" fontId="6" fillId="9" borderId="4" xfId="0" applyFont="1" applyFill="1" applyBorder="1"/>
    <xf numFmtId="166" fontId="6" fillId="9" borderId="0" xfId="0" applyNumberFormat="1" applyFont="1" applyFill="1"/>
    <xf numFmtId="165" fontId="6" fillId="9" borderId="0" xfId="0" applyNumberFormat="1" applyFont="1" applyFill="1"/>
    <xf numFmtId="166" fontId="6" fillId="9" borderId="1" xfId="0" applyNumberFormat="1" applyFont="1" applyFill="1" applyBorder="1"/>
    <xf numFmtId="0" fontId="7" fillId="10" borderId="24" xfId="0" applyFont="1" applyFill="1" applyBorder="1"/>
    <xf numFmtId="165" fontId="7" fillId="10" borderId="15" xfId="0" applyNumberFormat="1" applyFont="1" applyFill="1" applyBorder="1"/>
    <xf numFmtId="0" fontId="6" fillId="10" borderId="15" xfId="0" applyFont="1" applyFill="1" applyBorder="1" applyAlignment="1">
      <alignment horizontal="right"/>
    </xf>
    <xf numFmtId="165" fontId="6" fillId="10" borderId="15" xfId="0" applyNumberFormat="1" applyFont="1" applyFill="1" applyBorder="1"/>
    <xf numFmtId="166" fontId="7" fillId="10" borderId="25" xfId="0" applyNumberFormat="1" applyFont="1" applyFill="1" applyBorder="1"/>
    <xf numFmtId="0" fontId="7" fillId="11" borderId="32" xfId="6" applyFont="1" applyFill="1" applyBorder="1" applyAlignment="1">
      <alignment horizontal="left"/>
    </xf>
    <xf numFmtId="0" fontId="7" fillId="11" borderId="33" xfId="6" applyFont="1" applyFill="1" applyBorder="1" applyAlignment="1">
      <alignment horizontal="left"/>
    </xf>
    <xf numFmtId="0" fontId="7" fillId="10" borderId="22" xfId="7" applyFont="1" applyFill="1" applyBorder="1" applyAlignment="1">
      <alignment horizontal="left" vertical="top" wrapText="1"/>
    </xf>
    <xf numFmtId="0" fontId="7" fillId="10" borderId="14" xfId="0" applyFont="1" applyFill="1" applyBorder="1" applyAlignment="1">
      <alignment horizontal="left" vertical="top" wrapText="1"/>
    </xf>
    <xf numFmtId="0" fontId="7" fillId="10" borderId="23" xfId="0" applyFont="1" applyFill="1" applyBorder="1" applyAlignment="1">
      <alignment horizontal="left" vertical="top" wrapText="1"/>
    </xf>
    <xf numFmtId="0" fontId="10" fillId="0" borderId="0" xfId="0" applyFont="1" applyFill="1" applyBorder="1" applyAlignment="1">
      <alignment horizontal="left"/>
    </xf>
    <xf numFmtId="0" fontId="10" fillId="0" borderId="0" xfId="7" applyFont="1" applyFill="1" applyBorder="1"/>
    <xf numFmtId="0" fontId="10" fillId="0" borderId="28" xfId="0" applyFont="1" applyFill="1" applyBorder="1"/>
    <xf numFmtId="0" fontId="12" fillId="0" borderId="28" xfId="0" applyFont="1" applyFill="1" applyBorder="1"/>
    <xf numFmtId="165" fontId="12" fillId="0" borderId="0" xfId="0" applyNumberFormat="1" applyFont="1" applyFill="1" applyBorder="1"/>
    <xf numFmtId="0" fontId="12" fillId="0" borderId="0" xfId="0" applyFont="1" applyFill="1" applyBorder="1"/>
    <xf numFmtId="165" fontId="12" fillId="0" borderId="1" xfId="0" applyNumberFormat="1" applyFont="1" applyFill="1" applyBorder="1"/>
    <xf numFmtId="0" fontId="12" fillId="0" borderId="1" xfId="0" applyFont="1" applyFill="1" applyBorder="1"/>
    <xf numFmtId="0" fontId="10" fillId="0" borderId="0" xfId="0" applyFont="1" applyFill="1" applyBorder="1" applyAlignment="1">
      <alignment horizontal="right"/>
    </xf>
    <xf numFmtId="0" fontId="7" fillId="9" borderId="2" xfId="0" applyFont="1" applyFill="1" applyBorder="1" applyAlignment="1">
      <alignment horizontal="center"/>
    </xf>
    <xf numFmtId="43" fontId="0" fillId="0" borderId="0" xfId="3" applyFont="1"/>
    <xf numFmtId="43" fontId="0" fillId="0" borderId="1" xfId="3" applyFont="1" applyBorder="1"/>
    <xf numFmtId="165" fontId="10" fillId="14" borderId="36" xfId="10" applyNumberFormat="1" applyFont="1" applyBorder="1"/>
    <xf numFmtId="165" fontId="10" fillId="14" borderId="37" xfId="10" applyNumberFormat="1" applyFont="1" applyBorder="1"/>
    <xf numFmtId="0" fontId="10" fillId="14" borderId="37" xfId="10" applyFont="1" applyBorder="1"/>
    <xf numFmtId="165" fontId="10" fillId="14" borderId="38" xfId="10" applyNumberFormat="1" applyFont="1" applyBorder="1"/>
    <xf numFmtId="0" fontId="7" fillId="13" borderId="31" xfId="9" applyFont="1" applyBorder="1"/>
    <xf numFmtId="0" fontId="7" fillId="13" borderId="14" xfId="9" applyFont="1" applyBorder="1"/>
    <xf numFmtId="0" fontId="7" fillId="13" borderId="14" xfId="9" applyFont="1" applyBorder="1" applyAlignment="1">
      <alignment horizontal="center"/>
    </xf>
    <xf numFmtId="0" fontId="7" fillId="13" borderId="32" xfId="9" applyFont="1" applyBorder="1"/>
    <xf numFmtId="0" fontId="6" fillId="9" borderId="1" xfId="0" applyFont="1" applyFill="1" applyBorder="1" applyAlignment="1">
      <alignment horizontal="center"/>
    </xf>
    <xf numFmtId="0" fontId="7" fillId="13" borderId="34" xfId="9" applyFont="1" applyBorder="1"/>
    <xf numFmtId="0" fontId="6" fillId="0" borderId="0" xfId="0" applyFont="1"/>
    <xf numFmtId="0" fontId="8" fillId="0" borderId="0" xfId="0" applyFont="1"/>
    <xf numFmtId="0" fontId="7" fillId="8" borderId="22" xfId="7" applyFont="1" applyBorder="1"/>
    <xf numFmtId="0" fontId="7" fillId="0" borderId="14" xfId="0" applyFont="1" applyBorder="1"/>
    <xf numFmtId="0" fontId="6" fillId="0" borderId="23" xfId="0" applyFont="1" applyBorder="1" applyAlignment="1">
      <alignment horizontal="center"/>
    </xf>
    <xf numFmtId="165" fontId="6" fillId="0" borderId="0" xfId="0" applyNumberFormat="1" applyFont="1" applyBorder="1"/>
    <xf numFmtId="0" fontId="6" fillId="0" borderId="2" xfId="0" applyFont="1" applyBorder="1"/>
    <xf numFmtId="165" fontId="6" fillId="0" borderId="1" xfId="0" applyNumberFormat="1" applyFont="1" applyBorder="1"/>
    <xf numFmtId="0" fontId="6" fillId="0" borderId="4" xfId="0" applyFont="1" applyBorder="1"/>
    <xf numFmtId="0" fontId="7" fillId="8" borderId="32" xfId="7" applyFont="1" applyBorder="1"/>
    <xf numFmtId="0" fontId="7" fillId="8" borderId="34" xfId="7" applyFont="1" applyBorder="1"/>
    <xf numFmtId="0" fontId="15" fillId="0" borderId="0" xfId="0" applyFont="1"/>
    <xf numFmtId="0" fontId="6" fillId="0" borderId="0" xfId="0" applyFont="1" applyBorder="1"/>
    <xf numFmtId="0" fontId="6" fillId="0" borderId="1" xfId="0" applyFont="1" applyBorder="1"/>
    <xf numFmtId="0" fontId="7" fillId="0" borderId="0" xfId="0" applyFont="1"/>
    <xf numFmtId="164" fontId="6" fillId="0" borderId="0" xfId="0" applyNumberFormat="1" applyFont="1"/>
    <xf numFmtId="0" fontId="6" fillId="6" borderId="0" xfId="5" applyFont="1"/>
    <xf numFmtId="0" fontId="7" fillId="0" borderId="7" xfId="0" applyFont="1" applyBorder="1"/>
    <xf numFmtId="0" fontId="6" fillId="0" borderId="8" xfId="0" applyFont="1" applyBorder="1"/>
    <xf numFmtId="0" fontId="6" fillId="0" borderId="16" xfId="0" applyFont="1" applyBorder="1"/>
    <xf numFmtId="0" fontId="6" fillId="0" borderId="19" xfId="0" applyFont="1" applyBorder="1"/>
    <xf numFmtId="0" fontId="6" fillId="0" borderId="9" xfId="0" applyFont="1" applyBorder="1"/>
    <xf numFmtId="0" fontId="6" fillId="0" borderId="22" xfId="0" applyFont="1" applyBorder="1"/>
    <xf numFmtId="0" fontId="6" fillId="0" borderId="14" xfId="0" applyFont="1" applyBorder="1"/>
    <xf numFmtId="0" fontId="6" fillId="0" borderId="17" xfId="0" applyFont="1" applyBorder="1"/>
    <xf numFmtId="0" fontId="6" fillId="0" borderId="14" xfId="0" applyFont="1" applyBorder="1" applyAlignment="1">
      <alignment horizontal="center"/>
    </xf>
    <xf numFmtId="0" fontId="6" fillId="0" borderId="20" xfId="0" applyFont="1" applyBorder="1"/>
    <xf numFmtId="2" fontId="6" fillId="0" borderId="14" xfId="0" applyNumberFormat="1" applyFont="1" applyBorder="1" applyAlignment="1">
      <alignment horizontal="center"/>
    </xf>
    <xf numFmtId="0" fontId="6" fillId="0" borderId="23" xfId="0" applyFont="1" applyBorder="1"/>
    <xf numFmtId="0" fontId="6" fillId="0" borderId="24" xfId="0" applyFont="1" applyBorder="1"/>
    <xf numFmtId="0" fontId="6" fillId="0" borderId="15" xfId="0" applyFont="1" applyBorder="1"/>
    <xf numFmtId="0" fontId="6" fillId="0" borderId="18" xfId="0" applyFont="1" applyBorder="1"/>
    <xf numFmtId="0" fontId="6" fillId="0" borderId="15" xfId="0" applyFont="1" applyBorder="1" applyAlignment="1">
      <alignment horizontal="center"/>
    </xf>
    <xf numFmtId="0" fontId="6" fillId="0" borderId="21" xfId="0" applyFont="1" applyBorder="1"/>
    <xf numFmtId="2" fontId="6" fillId="0" borderId="15" xfId="0" applyNumberFormat="1" applyFont="1" applyBorder="1" applyAlignment="1">
      <alignment horizontal="center"/>
    </xf>
    <xf numFmtId="0" fontId="6" fillId="0" borderId="25" xfId="0" applyFont="1" applyBorder="1"/>
    <xf numFmtId="2" fontId="6" fillId="0" borderId="8" xfId="0" applyNumberFormat="1" applyFont="1" applyBorder="1" applyAlignment="1">
      <alignment horizontal="center"/>
    </xf>
    <xf numFmtId="0" fontId="6" fillId="0" borderId="3" xfId="0" applyFont="1" applyBorder="1"/>
    <xf numFmtId="0" fontId="6" fillId="0" borderId="26" xfId="0" applyFont="1" applyBorder="1"/>
    <xf numFmtId="0" fontId="6" fillId="0" borderId="1" xfId="0" applyFont="1" applyBorder="1" applyAlignment="1">
      <alignment horizontal="center"/>
    </xf>
    <xf numFmtId="0" fontId="6" fillId="0" borderId="27" xfId="0" applyFont="1" applyBorder="1"/>
    <xf numFmtId="2" fontId="6" fillId="0" borderId="1" xfId="0" applyNumberFormat="1" applyFont="1" applyBorder="1" applyAlignment="1">
      <alignment horizontal="center"/>
    </xf>
    <xf numFmtId="0" fontId="13" fillId="12" borderId="39" xfId="8"/>
    <xf numFmtId="0" fontId="16" fillId="12" borderId="39" xfId="8" applyFont="1"/>
    <xf numFmtId="0" fontId="17" fillId="0" borderId="0" xfId="0" applyFont="1" applyBorder="1"/>
    <xf numFmtId="0" fontId="6" fillId="0" borderId="10" xfId="0" applyFont="1" applyBorder="1"/>
    <xf numFmtId="0" fontId="6" fillId="0" borderId="11" xfId="0" applyFont="1" applyBorder="1"/>
    <xf numFmtId="0" fontId="6" fillId="0" borderId="12" xfId="0" applyFont="1" applyBorder="1"/>
    <xf numFmtId="0" fontId="17" fillId="0" borderId="10" xfId="0" applyFont="1" applyBorder="1"/>
    <xf numFmtId="0" fontId="17" fillId="0" borderId="11" xfId="0" applyFont="1" applyBorder="1"/>
    <xf numFmtId="0" fontId="7" fillId="0" borderId="13" xfId="0" applyFont="1" applyBorder="1"/>
    <xf numFmtId="0" fontId="7" fillId="0" borderId="0" xfId="0" applyFont="1" applyBorder="1"/>
    <xf numFmtId="0" fontId="6" fillId="0" borderId="13" xfId="0" applyFont="1" applyBorder="1"/>
    <xf numFmtId="0" fontId="7" fillId="0" borderId="3" xfId="0" applyFont="1" applyBorder="1"/>
    <xf numFmtId="0" fontId="7" fillId="0" borderId="1" xfId="0" applyFont="1" applyBorder="1"/>
    <xf numFmtId="0" fontId="7" fillId="0" borderId="2" xfId="0" applyFont="1" applyBorder="1"/>
    <xf numFmtId="8" fontId="6" fillId="0" borderId="0" xfId="0" applyNumberFormat="1" applyFont="1" applyBorder="1"/>
    <xf numFmtId="8" fontId="6" fillId="2" borderId="0" xfId="1" applyNumberFormat="1" applyFont="1" applyBorder="1"/>
    <xf numFmtId="6" fontId="6" fillId="0" borderId="0" xfId="0" applyNumberFormat="1" applyFont="1" applyBorder="1"/>
    <xf numFmtId="6" fontId="6" fillId="2" borderId="0" xfId="1" applyNumberFormat="1" applyFont="1" applyBorder="1"/>
    <xf numFmtId="166" fontId="6" fillId="0" borderId="0" xfId="0" applyNumberFormat="1" applyFont="1" applyBorder="1"/>
    <xf numFmtId="0" fontId="17" fillId="0" borderId="13" xfId="0" applyFont="1" applyBorder="1"/>
    <xf numFmtId="165" fontId="6" fillId="3" borderId="0" xfId="2" applyNumberFormat="1" applyFont="1" applyBorder="1"/>
    <xf numFmtId="165" fontId="7" fillId="0" borderId="0" xfId="0" applyNumberFormat="1" applyFont="1" applyBorder="1"/>
    <xf numFmtId="165" fontId="6" fillId="3" borderId="1" xfId="2" applyNumberFormat="1" applyFont="1" applyBorder="1"/>
    <xf numFmtId="0" fontId="12" fillId="2" borderId="0" xfId="1" applyFont="1" applyBorder="1"/>
    <xf numFmtId="0" fontId="12" fillId="3" borderId="0" xfId="2" applyFont="1" applyBorder="1"/>
    <xf numFmtId="164" fontId="12" fillId="2" borderId="0" xfId="1" applyNumberFormat="1" applyFont="1" applyBorder="1"/>
    <xf numFmtId="164" fontId="12" fillId="3" borderId="0" xfId="2" applyNumberFormat="1" applyFont="1" applyBorder="1"/>
    <xf numFmtId="167" fontId="6" fillId="0" borderId="0" xfId="0" applyNumberFormat="1" applyFont="1" applyBorder="1"/>
    <xf numFmtId="0" fontId="8" fillId="0" borderId="0" xfId="0" applyFont="1" applyBorder="1"/>
    <xf numFmtId="43" fontId="11" fillId="0" borderId="0" xfId="3" applyFont="1" applyBorder="1"/>
    <xf numFmtId="43" fontId="6" fillId="0" borderId="0" xfId="3" applyFont="1" applyBorder="1"/>
    <xf numFmtId="43" fontId="6" fillId="0" borderId="0" xfId="3" applyFont="1"/>
    <xf numFmtId="43" fontId="14" fillId="0" borderId="0" xfId="3" applyFont="1" applyBorder="1"/>
    <xf numFmtId="43" fontId="6" fillId="0" borderId="1" xfId="3" applyFont="1" applyBorder="1"/>
    <xf numFmtId="43" fontId="11" fillId="0" borderId="0" xfId="3" applyFont="1"/>
    <xf numFmtId="43" fontId="14" fillId="0" borderId="0" xfId="3" applyFont="1"/>
    <xf numFmtId="43" fontId="18" fillId="0" borderId="0" xfId="3" applyFont="1"/>
    <xf numFmtId="43" fontId="7" fillId="0" borderId="0" xfId="3" applyFont="1"/>
    <xf numFmtId="43" fontId="6" fillId="0" borderId="10" xfId="3" applyFont="1" applyBorder="1"/>
    <xf numFmtId="43" fontId="6" fillId="0" borderId="11" xfId="3" applyFont="1" applyBorder="1"/>
    <xf numFmtId="43" fontId="6" fillId="0" borderId="3" xfId="3" applyFont="1" applyBorder="1"/>
    <xf numFmtId="43" fontId="6" fillId="0" borderId="0" xfId="3" applyFont="1" applyAlignment="1">
      <alignment horizontal="center"/>
    </xf>
    <xf numFmtId="43" fontId="19" fillId="0" borderId="0" xfId="3" applyFont="1"/>
    <xf numFmtId="43" fontId="7" fillId="5" borderId="0" xfId="3" applyFont="1" applyFill="1"/>
    <xf numFmtId="43" fontId="6" fillId="5" borderId="0" xfId="3" applyFont="1" applyFill="1"/>
    <xf numFmtId="43" fontId="9" fillId="2" borderId="0" xfId="3" applyFont="1" applyFill="1"/>
    <xf numFmtId="43" fontId="10" fillId="2" borderId="0" xfId="3" applyFont="1" applyFill="1"/>
    <xf numFmtId="43" fontId="12" fillId="2" borderId="0" xfId="3" applyFont="1" applyFill="1"/>
    <xf numFmtId="43" fontId="10" fillId="3" borderId="0" xfId="3" applyFont="1" applyFill="1"/>
    <xf numFmtId="43" fontId="12" fillId="3" borderId="0" xfId="3" applyFont="1" applyFill="1"/>
    <xf numFmtId="43" fontId="6" fillId="5" borderId="1" xfId="3" applyFont="1" applyFill="1" applyBorder="1"/>
    <xf numFmtId="43" fontId="6" fillId="5" borderId="0" xfId="3" applyFont="1" applyFill="1" applyBorder="1"/>
    <xf numFmtId="43" fontId="6" fillId="5" borderId="1" xfId="3" applyFont="1" applyFill="1" applyBorder="1" applyAlignment="1">
      <alignment horizontal="right"/>
    </xf>
    <xf numFmtId="43" fontId="6" fillId="5" borderId="0" xfId="3" applyFont="1" applyFill="1" applyAlignment="1">
      <alignment horizontal="right"/>
    </xf>
    <xf numFmtId="43" fontId="6" fillId="5" borderId="0" xfId="3" applyFont="1" applyFill="1" applyAlignment="1">
      <alignment horizontal="right" indent="1"/>
    </xf>
    <xf numFmtId="43" fontId="6" fillId="5" borderId="8" xfId="3" applyFont="1" applyFill="1" applyBorder="1" applyAlignment="1">
      <alignment horizontal="center"/>
    </xf>
    <xf numFmtId="43" fontId="6" fillId="5" borderId="1" xfId="3" applyFont="1" applyFill="1" applyBorder="1" applyAlignment="1">
      <alignment horizontal="center"/>
    </xf>
    <xf numFmtId="43" fontId="6" fillId="4" borderId="0" xfId="3" applyFont="1" applyFill="1" applyBorder="1"/>
    <xf numFmtId="43" fontId="7" fillId="4" borderId="0" xfId="3" applyFont="1" applyFill="1" applyBorder="1"/>
    <xf numFmtId="43" fontId="6" fillId="4" borderId="1" xfId="3" applyFont="1" applyFill="1" applyBorder="1"/>
    <xf numFmtId="43" fontId="6" fillId="4" borderId="1" xfId="3" applyFont="1" applyFill="1" applyBorder="1" applyAlignment="1">
      <alignment horizontal="right"/>
    </xf>
    <xf numFmtId="43" fontId="10" fillId="4" borderId="0" xfId="3" applyFont="1" applyFill="1" applyBorder="1" applyAlignment="1">
      <alignment horizontal="right"/>
    </xf>
    <xf numFmtId="43" fontId="20" fillId="4" borderId="0" xfId="3" applyFont="1" applyFill="1" applyBorder="1"/>
    <xf numFmtId="43" fontId="20" fillId="4" borderId="0" xfId="3" applyFont="1" applyFill="1"/>
    <xf numFmtId="43" fontId="12" fillId="4" borderId="0" xfId="3" applyFont="1" applyFill="1"/>
    <xf numFmtId="43" fontId="6" fillId="0" borderId="40" xfId="3" applyFont="1" applyBorder="1"/>
    <xf numFmtId="43" fontId="6" fillId="0" borderId="8" xfId="3" applyFont="1" applyBorder="1" applyAlignment="1">
      <alignment horizontal="center"/>
    </xf>
    <xf numFmtId="43" fontId="8" fillId="0" borderId="0" xfId="3" applyFont="1"/>
    <xf numFmtId="43" fontId="6" fillId="0" borderId="0" xfId="3" applyFont="1" applyAlignment="1"/>
    <xf numFmtId="43" fontId="6" fillId="0" borderId="0" xfId="3" applyFont="1" applyAlignment="1">
      <alignment horizontal="left" vertical="center"/>
    </xf>
    <xf numFmtId="43" fontId="7" fillId="0" borderId="0" xfId="3" applyFont="1" applyAlignment="1">
      <alignment horizontal="right"/>
    </xf>
    <xf numFmtId="170" fontId="6" fillId="5" borderId="9" xfId="3" applyNumberFormat="1" applyFont="1" applyFill="1" applyBorder="1"/>
    <xf numFmtId="170" fontId="6" fillId="5" borderId="6" xfId="3" applyNumberFormat="1" applyFont="1" applyFill="1" applyBorder="1"/>
    <xf numFmtId="170" fontId="6" fillId="5" borderId="7" xfId="3" applyNumberFormat="1" applyFont="1" applyFill="1" applyBorder="1"/>
    <xf numFmtId="170" fontId="6" fillId="5" borderId="3" xfId="3" applyNumberFormat="1" applyFont="1" applyFill="1" applyBorder="1"/>
    <xf numFmtId="170" fontId="12" fillId="4" borderId="7" xfId="3" applyNumberFormat="1" applyFont="1" applyFill="1" applyBorder="1"/>
    <xf numFmtId="170" fontId="12" fillId="4" borderId="8" xfId="3" applyNumberFormat="1" applyFont="1" applyFill="1" applyBorder="1" applyAlignment="1">
      <alignment horizontal="center"/>
    </xf>
    <xf numFmtId="170" fontId="12" fillId="4" borderId="9" xfId="3" applyNumberFormat="1" applyFont="1" applyFill="1" applyBorder="1"/>
    <xf numFmtId="170" fontId="12" fillId="4" borderId="3" xfId="3" applyNumberFormat="1" applyFont="1" applyFill="1" applyBorder="1"/>
    <xf numFmtId="170" fontId="12" fillId="4" borderId="1" xfId="3" applyNumberFormat="1" applyFont="1" applyFill="1" applyBorder="1" applyAlignment="1">
      <alignment horizontal="center"/>
    </xf>
    <xf numFmtId="170" fontId="12" fillId="4" borderId="4" xfId="3" applyNumberFormat="1" applyFont="1" applyFill="1" applyBorder="1"/>
    <xf numFmtId="43" fontId="0" fillId="0" borderId="28" xfId="3" applyFont="1" applyBorder="1"/>
    <xf numFmtId="43" fontId="6" fillId="0" borderId="28" xfId="3" applyFont="1" applyBorder="1"/>
    <xf numFmtId="170" fontId="6" fillId="4" borderId="0" xfId="3" applyNumberFormat="1" applyFont="1" applyFill="1" applyBorder="1"/>
    <xf numFmtId="170" fontId="6" fillId="4" borderId="1" xfId="3" applyNumberFormat="1" applyFont="1" applyFill="1" applyBorder="1"/>
    <xf numFmtId="170" fontId="7" fillId="4" borderId="1" xfId="3" applyNumberFormat="1" applyFont="1" applyFill="1" applyBorder="1"/>
    <xf numFmtId="170" fontId="20" fillId="4" borderId="0" xfId="3" applyNumberFormat="1" applyFont="1" applyFill="1" applyBorder="1"/>
    <xf numFmtId="0" fontId="6" fillId="5" borderId="0" xfId="12" applyFont="1"/>
    <xf numFmtId="0" fontId="6" fillId="5" borderId="1" xfId="12" applyFont="1" applyBorder="1"/>
    <xf numFmtId="0" fontId="12" fillId="4" borderId="0" xfId="11" applyFont="1"/>
    <xf numFmtId="0" fontId="12" fillId="4" borderId="1" xfId="11" applyFont="1" applyBorder="1"/>
    <xf numFmtId="2" fontId="6" fillId="9" borderId="0" xfId="0" applyNumberFormat="1" applyFont="1" applyFill="1" applyBorder="1"/>
    <xf numFmtId="166" fontId="7" fillId="9" borderId="0" xfId="0" applyNumberFormat="1" applyFont="1" applyFill="1" applyBorder="1"/>
    <xf numFmtId="166" fontId="7" fillId="10" borderId="15" xfId="0" applyNumberFormat="1" applyFont="1" applyFill="1" applyBorder="1"/>
    <xf numFmtId="170" fontId="6" fillId="0" borderId="0" xfId="3" applyNumberFormat="1" applyFont="1" applyBorder="1"/>
    <xf numFmtId="170" fontId="6" fillId="0" borderId="40" xfId="3" applyNumberFormat="1" applyFont="1" applyBorder="1"/>
    <xf numFmtId="170" fontId="6" fillId="0" borderId="0" xfId="3" applyNumberFormat="1" applyFont="1"/>
    <xf numFmtId="170" fontId="6" fillId="0" borderId="9" xfId="3" applyNumberFormat="1" applyFont="1" applyBorder="1"/>
    <xf numFmtId="170" fontId="6" fillId="0" borderId="7" xfId="3" applyNumberFormat="1" applyFont="1" applyBorder="1"/>
    <xf numFmtId="170" fontId="6" fillId="0" borderId="0" xfId="3" applyNumberFormat="1" applyFont="1" applyAlignment="1">
      <alignment horizontal="right"/>
    </xf>
    <xf numFmtId="171" fontId="6" fillId="0" borderId="12" xfId="3" applyNumberFormat="1" applyFont="1" applyBorder="1"/>
    <xf numFmtId="171" fontId="6" fillId="0" borderId="4" xfId="3" applyNumberFormat="1" applyFont="1" applyBorder="1"/>
    <xf numFmtId="0" fontId="6" fillId="9" borderId="0" xfId="0" applyFont="1" applyFill="1" applyAlignment="1">
      <alignment horizontal="center"/>
    </xf>
    <xf numFmtId="170" fontId="6" fillId="9" borderId="0" xfId="0" applyNumberFormat="1" applyFont="1" applyFill="1"/>
    <xf numFmtId="170" fontId="21" fillId="9" borderId="0" xfId="0" applyNumberFormat="1" applyFont="1" applyFill="1"/>
    <xf numFmtId="0" fontId="12" fillId="2" borderId="0" xfId="1" applyFont="1"/>
    <xf numFmtId="43" fontId="12" fillId="2" borderId="0" xfId="3" applyFont="1" applyFill="1" applyAlignment="1">
      <alignment horizontal="right"/>
    </xf>
    <xf numFmtId="0" fontId="7" fillId="9" borderId="34" xfId="0" applyFont="1" applyFill="1" applyBorder="1"/>
    <xf numFmtId="165" fontId="6" fillId="0" borderId="0" xfId="0" applyNumberFormat="1" applyFont="1"/>
    <xf numFmtId="165" fontId="0" fillId="0" borderId="0" xfId="0" applyNumberFormat="1"/>
    <xf numFmtId="43" fontId="1" fillId="8" borderId="0" xfId="7" applyNumberFormat="1"/>
    <xf numFmtId="43" fontId="1" fillId="8" borderId="0" xfId="7" applyNumberFormat="1" applyAlignment="1">
      <alignment horizontal="center"/>
    </xf>
    <xf numFmtId="43" fontId="4" fillId="8" borderId="0" xfId="7" applyNumberFormat="1" applyFont="1"/>
    <xf numFmtId="43" fontId="7" fillId="8" borderId="0" xfId="7" applyNumberFormat="1" applyFont="1"/>
    <xf numFmtId="43" fontId="6" fillId="8" borderId="0" xfId="7" applyNumberFormat="1" applyFont="1"/>
    <xf numFmtId="165" fontId="6" fillId="8" borderId="0" xfId="7" applyNumberFormat="1" applyFont="1"/>
    <xf numFmtId="0" fontId="11" fillId="0" borderId="0" xfId="0" applyFont="1"/>
    <xf numFmtId="165" fontId="6" fillId="0" borderId="2" xfId="0" applyNumberFormat="1" applyFont="1" applyBorder="1"/>
    <xf numFmtId="165" fontId="0" fillId="0" borderId="11" xfId="0" applyNumberFormat="1" applyBorder="1"/>
    <xf numFmtId="165" fontId="0" fillId="0" borderId="12" xfId="0" applyNumberFormat="1" applyBorder="1"/>
    <xf numFmtId="165" fontId="0" fillId="0" borderId="0" xfId="0" applyNumberFormat="1" applyBorder="1"/>
    <xf numFmtId="165" fontId="0" fillId="0" borderId="2" xfId="0" applyNumberFormat="1" applyBorder="1"/>
    <xf numFmtId="165" fontId="6" fillId="0" borderId="13" xfId="0" applyNumberFormat="1" applyFont="1" applyBorder="1" applyAlignment="1">
      <alignment horizontal="right"/>
    </xf>
    <xf numFmtId="165" fontId="7" fillId="0" borderId="13" xfId="0" applyNumberFormat="1" applyFont="1" applyBorder="1" applyAlignment="1">
      <alignment horizontal="right"/>
    </xf>
    <xf numFmtId="165" fontId="8" fillId="0" borderId="13" xfId="0" applyNumberFormat="1" applyFont="1" applyBorder="1"/>
    <xf numFmtId="0" fontId="4" fillId="0" borderId="35" xfId="0" applyFont="1" applyBorder="1"/>
    <xf numFmtId="165" fontId="0" fillId="0" borderId="28" xfId="0" applyNumberFormat="1" applyBorder="1"/>
    <xf numFmtId="165" fontId="0" fillId="0" borderId="30" xfId="0" applyNumberFormat="1" applyBorder="1"/>
    <xf numFmtId="9" fontId="6" fillId="9" borderId="0" xfId="13" applyFont="1" applyFill="1"/>
    <xf numFmtId="172" fontId="0" fillId="0" borderId="0" xfId="0" applyNumberFormat="1" applyBorder="1"/>
    <xf numFmtId="170" fontId="6" fillId="0" borderId="1" xfId="3" applyNumberFormat="1" applyFont="1" applyBorder="1"/>
    <xf numFmtId="170" fontId="6" fillId="5" borderId="0" xfId="3" applyNumberFormat="1" applyFont="1" applyFill="1"/>
    <xf numFmtId="165" fontId="4" fillId="0" borderId="1" xfId="0" applyNumberFormat="1" applyFont="1" applyBorder="1"/>
    <xf numFmtId="165" fontId="6" fillId="0" borderId="40" xfId="3" applyNumberFormat="1" applyFont="1" applyBorder="1"/>
    <xf numFmtId="165" fontId="6" fillId="0" borderId="12" xfId="3" applyNumberFormat="1" applyFont="1" applyBorder="1"/>
    <xf numFmtId="165" fontId="6" fillId="0" borderId="4" xfId="3" applyNumberFormat="1" applyFont="1" applyBorder="1"/>
    <xf numFmtId="165" fontId="6" fillId="0" borderId="0" xfId="3" applyNumberFormat="1" applyFont="1"/>
    <xf numFmtId="0" fontId="6" fillId="0" borderId="7" xfId="0" applyFont="1" applyBorder="1"/>
    <xf numFmtId="0" fontId="0" fillId="0" borderId="9" xfId="0" applyBorder="1"/>
    <xf numFmtId="0" fontId="22" fillId="7" borderId="13" xfId="6" applyFont="1" applyBorder="1"/>
    <xf numFmtId="0" fontId="22" fillId="7" borderId="3" xfId="6" applyFont="1" applyBorder="1"/>
    <xf numFmtId="0" fontId="7" fillId="0" borderId="8" xfId="0" applyFont="1" applyBorder="1"/>
    <xf numFmtId="165" fontId="6" fillId="0" borderId="8" xfId="0" applyNumberFormat="1" applyFont="1" applyBorder="1"/>
    <xf numFmtId="0" fontId="0" fillId="0" borderId="8" xfId="0" applyBorder="1"/>
    <xf numFmtId="165" fontId="6" fillId="0" borderId="0" xfId="0" applyNumberFormat="1" applyFont="1" applyBorder="1" applyAlignment="1"/>
    <xf numFmtId="165" fontId="6" fillId="0" borderId="1" xfId="0" applyNumberFormat="1" applyFont="1" applyBorder="1" applyAlignment="1"/>
    <xf numFmtId="165" fontId="6" fillId="5" borderId="0" xfId="3" applyNumberFormat="1" applyFont="1" applyFill="1"/>
    <xf numFmtId="165" fontId="6" fillId="5" borderId="1" xfId="3" applyNumberFormat="1" applyFont="1" applyFill="1" applyBorder="1"/>
    <xf numFmtId="43" fontId="0" fillId="0" borderId="0" xfId="3" applyFont="1" applyBorder="1"/>
    <xf numFmtId="43" fontId="5" fillId="4" borderId="0" xfId="11" applyNumberFormat="1"/>
    <xf numFmtId="43" fontId="8" fillId="0" borderId="0" xfId="3" applyFont="1" applyBorder="1"/>
    <xf numFmtId="43" fontId="10" fillId="4" borderId="0" xfId="11" applyNumberFormat="1" applyFont="1"/>
    <xf numFmtId="170" fontId="7" fillId="4" borderId="0" xfId="3" applyNumberFormat="1" applyFont="1" applyFill="1" applyBorder="1"/>
    <xf numFmtId="170" fontId="7" fillId="0" borderId="0" xfId="3" applyNumberFormat="1" applyFont="1"/>
    <xf numFmtId="0" fontId="4" fillId="0" borderId="0" xfId="0" applyFont="1" applyBorder="1"/>
    <xf numFmtId="165" fontId="4" fillId="0" borderId="0" xfId="0" applyNumberFormat="1" applyFont="1" applyBorder="1"/>
    <xf numFmtId="165" fontId="23" fillId="0" borderId="0" xfId="0" applyNumberFormat="1" applyFont="1"/>
    <xf numFmtId="170" fontId="6" fillId="5" borderId="1" xfId="3" applyNumberFormat="1" applyFont="1" applyFill="1" applyBorder="1"/>
    <xf numFmtId="165" fontId="7" fillId="0" borderId="8" xfId="0" applyNumberFormat="1" applyFont="1" applyBorder="1"/>
    <xf numFmtId="165" fontId="7" fillId="0" borderId="0" xfId="0" applyNumberFormat="1" applyFont="1" applyBorder="1" applyAlignment="1">
      <alignment horizontal="right"/>
    </xf>
    <xf numFmtId="165" fontId="7" fillId="0" borderId="7" xfId="3" applyNumberFormat="1" applyFont="1" applyBorder="1"/>
    <xf numFmtId="165" fontId="7" fillId="0" borderId="8" xfId="3" applyNumberFormat="1" applyFont="1" applyBorder="1" applyAlignment="1">
      <alignment horizontal="center"/>
    </xf>
    <xf numFmtId="165" fontId="7" fillId="0" borderId="9" xfId="3" applyNumberFormat="1" applyFont="1" applyBorder="1"/>
    <xf numFmtId="43" fontId="1" fillId="8" borderId="0" xfId="7" applyNumberFormat="1" applyBorder="1"/>
    <xf numFmtId="43" fontId="0" fillId="8" borderId="0" xfId="7" applyNumberFormat="1" applyFont="1" applyAlignment="1">
      <alignment horizontal="center"/>
    </xf>
    <xf numFmtId="165" fontId="4" fillId="8" borderId="0" xfId="7" applyNumberFormat="1" applyFont="1"/>
    <xf numFmtId="165" fontId="10" fillId="0" borderId="0" xfId="0" applyNumberFormat="1" applyFont="1" applyBorder="1"/>
    <xf numFmtId="0" fontId="6" fillId="0" borderId="8" xfId="0" applyFont="1" applyBorder="1" applyAlignment="1">
      <alignment horizontal="center"/>
    </xf>
    <xf numFmtId="165" fontId="6" fillId="0" borderId="8" xfId="0" applyNumberFormat="1" applyFont="1" applyBorder="1" applyAlignment="1"/>
    <xf numFmtId="0" fontId="6" fillId="3" borderId="13" xfId="2" applyFont="1" applyBorder="1"/>
    <xf numFmtId="0" fontId="6" fillId="3" borderId="0" xfId="2" applyFont="1" applyBorder="1"/>
    <xf numFmtId="169" fontId="6" fillId="3" borderId="0" xfId="2" applyNumberFormat="1" applyFont="1" applyBorder="1"/>
    <xf numFmtId="6" fontId="6" fillId="3" borderId="0" xfId="2" applyNumberFormat="1" applyFont="1" applyBorder="1"/>
    <xf numFmtId="8" fontId="6" fillId="0" borderId="2" xfId="0" applyNumberFormat="1" applyFont="1" applyBorder="1"/>
    <xf numFmtId="0" fontId="6" fillId="0" borderId="35" xfId="0" applyFont="1" applyBorder="1"/>
    <xf numFmtId="0" fontId="6" fillId="0" borderId="28" xfId="0" applyFont="1" applyBorder="1"/>
    <xf numFmtId="6" fontId="7" fillId="0" borderId="28" xfId="0" applyNumberFormat="1" applyFont="1" applyBorder="1"/>
    <xf numFmtId="0" fontId="6" fillId="0" borderId="30" xfId="0" applyFont="1" applyBorder="1"/>
    <xf numFmtId="6" fontId="7" fillId="0" borderId="0" xfId="0" applyNumberFormat="1" applyFont="1" applyBorder="1"/>
    <xf numFmtId="0" fontId="7" fillId="0" borderId="19" xfId="0" applyFont="1" applyBorder="1"/>
    <xf numFmtId="0" fontId="7" fillId="0" borderId="13" xfId="0" applyFont="1" applyBorder="1" applyAlignment="1"/>
    <xf numFmtId="171" fontId="6" fillId="0" borderId="0" xfId="3" applyNumberFormat="1" applyFont="1"/>
    <xf numFmtId="0" fontId="24" fillId="0" borderId="0" xfId="0" applyFont="1"/>
    <xf numFmtId="165" fontId="4" fillId="8" borderId="0" xfId="14" applyNumberFormat="1" applyFont="1" applyFill="1"/>
    <xf numFmtId="0" fontId="6" fillId="9" borderId="0" xfId="0" applyFont="1" applyFill="1" applyAlignment="1">
      <alignment horizontal="left" vertical="top" wrapText="1"/>
    </xf>
    <xf numFmtId="0" fontId="6" fillId="0" borderId="1" xfId="0" applyFont="1" applyBorder="1" applyAlignment="1">
      <alignment wrapText="1"/>
    </xf>
    <xf numFmtId="43" fontId="6" fillId="5" borderId="28" xfId="3" applyFont="1" applyFill="1" applyBorder="1" applyAlignment="1">
      <alignment horizontal="right"/>
    </xf>
    <xf numFmtId="170" fontId="6" fillId="5" borderId="28" xfId="3" applyNumberFormat="1" applyFont="1" applyFill="1" applyBorder="1"/>
    <xf numFmtId="165" fontId="6" fillId="5" borderId="28" xfId="3" applyNumberFormat="1" applyFont="1" applyFill="1" applyBorder="1"/>
    <xf numFmtId="43" fontId="6" fillId="5" borderId="28" xfId="3" applyFont="1" applyFill="1" applyBorder="1"/>
    <xf numFmtId="8" fontId="6" fillId="0" borderId="1" xfId="0" applyNumberFormat="1" applyFont="1" applyBorder="1"/>
    <xf numFmtId="0" fontId="10" fillId="0" borderId="0" xfId="0" applyFont="1" applyFill="1" applyBorder="1"/>
  </cellXfs>
  <cellStyles count="15">
    <cellStyle name="20 % - Farve1" xfId="9" builtinId="30"/>
    <cellStyle name="40 % - Farve1" xfId="6" builtinId="31"/>
    <cellStyle name="40 % - Farve3" xfId="5" builtinId="39"/>
    <cellStyle name="40 % - Farve5" xfId="7" builtinId="47"/>
    <cellStyle name="40 % - Farve6" xfId="12" builtinId="51"/>
    <cellStyle name="Farve2" xfId="11" builtinId="33"/>
    <cellStyle name="Farve5" xfId="10" builtinId="45"/>
    <cellStyle name="God" xfId="1" builtinId="26"/>
    <cellStyle name="Komma" xfId="14" builtinId="3"/>
    <cellStyle name="Komma 2" xfId="3"/>
    <cellStyle name="Neutral" xfId="2" builtinId="28"/>
    <cellStyle name="Normal" xfId="0" builtinId="0"/>
    <cellStyle name="Output" xfId="8" builtinId="21"/>
    <cellStyle name="Procent" xfId="13" builtinId="5"/>
    <cellStyle name="Valuta 2" xfId="4"/>
  </cellStyles>
  <dxfs count="8">
    <dxf>
      <font>
        <b val="0"/>
        <i val="0"/>
        <strike val="0"/>
        <condense val="0"/>
        <extend val="0"/>
        <outline val="0"/>
        <shadow val="0"/>
        <u val="none"/>
        <vertAlign val="baseline"/>
        <sz val="11"/>
        <color auto="1"/>
        <name val="Arial"/>
        <scheme val="none"/>
      </font>
      <numFmt numFmtId="165" formatCode="#,##0\ &quot;kr.&quot;"/>
      <fill>
        <patternFill patternType="none">
          <fgColor indexed="64"/>
          <bgColor auto="1"/>
        </patternFill>
      </fill>
      <border diagonalUp="0" diagonalDown="0" outline="0">
        <left/>
        <right/>
        <top/>
        <bottom style="medium">
          <color indexed="64"/>
        </bottom>
      </border>
    </dxf>
    <dxf>
      <font>
        <b val="0"/>
        <i val="0"/>
        <strike val="0"/>
        <condense val="0"/>
        <extend val="0"/>
        <outline val="0"/>
        <shadow val="0"/>
        <u val="none"/>
        <vertAlign val="baseline"/>
        <sz val="11"/>
        <color auto="1"/>
        <name val="Arial"/>
        <scheme val="none"/>
      </font>
      <fill>
        <patternFill patternType="none">
          <fgColor indexed="64"/>
          <bgColor auto="1"/>
        </patternFill>
      </fill>
      <border diagonalUp="0" diagonalDown="0" outline="0">
        <left/>
        <right/>
        <top/>
        <bottom style="medium">
          <color indexed="64"/>
        </bottom>
      </border>
    </dxf>
    <dxf>
      <font>
        <b val="0"/>
        <i val="0"/>
        <strike val="0"/>
        <condense val="0"/>
        <extend val="0"/>
        <outline val="0"/>
        <shadow val="0"/>
        <u val="none"/>
        <vertAlign val="baseline"/>
        <sz val="11"/>
        <color auto="1"/>
        <name val="Arial"/>
        <scheme val="none"/>
      </font>
      <numFmt numFmtId="165" formatCode="#,##0\ &quot;kr.&quot;"/>
      <fill>
        <patternFill patternType="none">
          <fgColor indexed="64"/>
          <bgColor auto="1"/>
        </patternFill>
      </fill>
      <border diagonalUp="0" diagonalDown="0" outline="0">
        <left/>
        <right/>
        <top/>
        <bottom style="medium">
          <color indexed="64"/>
        </bottom>
      </border>
    </dxf>
    <dxf>
      <font>
        <b val="0"/>
        <i val="0"/>
        <strike val="0"/>
        <condense val="0"/>
        <extend val="0"/>
        <outline val="0"/>
        <shadow val="0"/>
        <u val="none"/>
        <vertAlign val="baseline"/>
        <sz val="11"/>
        <color auto="1"/>
        <name val="Arial"/>
        <scheme val="none"/>
      </font>
      <numFmt numFmtId="165" formatCode="#,##0\ &quot;kr.&quot;"/>
      <fill>
        <patternFill patternType="none">
          <fgColor indexed="64"/>
          <bgColor auto="1"/>
        </patternFill>
      </fill>
      <border diagonalUp="0" diagonalDown="0" outline="0">
        <left/>
        <right/>
        <top/>
        <bottom style="medium">
          <color indexed="64"/>
        </bottom>
      </border>
    </dxf>
    <dxf>
      <font>
        <strike val="0"/>
        <outline val="0"/>
        <shadow val="0"/>
        <u val="none"/>
        <vertAlign val="baseline"/>
        <sz val="11"/>
        <color auto="1"/>
        <name val="Arial"/>
        <scheme val="none"/>
      </font>
      <fill>
        <patternFill patternType="none">
          <fgColor indexed="64"/>
          <bgColor auto="1"/>
        </patternFill>
      </fill>
    </dxf>
    <dxf>
      <border outline="0">
        <left style="medium">
          <color indexed="64"/>
        </left>
        <top style="medium">
          <color indexed="64"/>
        </top>
        <bottom style="medium">
          <color indexed="64"/>
        </bottom>
      </border>
    </dxf>
    <dxf>
      <font>
        <b val="0"/>
        <i val="0"/>
        <strike val="0"/>
        <condense val="0"/>
        <extend val="0"/>
        <outline val="0"/>
        <shadow val="0"/>
        <u val="none"/>
        <vertAlign val="baseline"/>
        <sz val="11"/>
        <color auto="1"/>
        <name val="Arial"/>
        <scheme val="none"/>
      </font>
      <fill>
        <patternFill patternType="none">
          <fgColor indexed="64"/>
          <bgColor auto="1"/>
        </patternFill>
      </fill>
    </dxf>
    <dxf>
      <font>
        <b/>
        <i val="0"/>
        <strike val="0"/>
        <condense val="0"/>
        <extend val="0"/>
        <outline val="0"/>
        <shadow val="0"/>
        <u val="none"/>
        <vertAlign val="baseline"/>
        <sz val="11"/>
        <color auto="1"/>
        <name val="Arial"/>
        <scheme val="none"/>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id="1" name="Tabel1" displayName="Tabel1" ref="J8:N53" totalsRowShown="0" headerRowDxfId="7" dataDxfId="6" tableBorderDxfId="5">
  <autoFilter ref="J8:N53"/>
  <tableColumns count="5">
    <tableColumn id="1" name="Navn" dataDxfId="4"/>
    <tableColumn id="2" name="Generelle krav 2020" dataDxfId="3"/>
    <tableColumn id="3" name="Individuelle krav 2020" dataDxfId="2"/>
    <tableColumn id="4" name="Sandt?" dataDxfId="1"/>
    <tableColumn id="5" name="Realiseret krav " dataDxfId="0"/>
  </tableColumns>
  <tableStyleInfo name="TableStyleLight13" showFirstColumn="0" showLastColumn="0" showRowStripes="1" showColumnStripes="0"/>
</table>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1"/>
  <sheetViews>
    <sheetView showGridLines="0" topLeftCell="H61" zoomScale="80" zoomScaleNormal="80" workbookViewId="0">
      <selection activeCell="B31" sqref="B31"/>
    </sheetView>
  </sheetViews>
  <sheetFormatPr defaultColWidth="0" defaultRowHeight="14.4" zeroHeight="1"/>
  <cols>
    <col min="1" max="1" width="7.109375" style="62" customWidth="1"/>
    <col min="2" max="3" width="8.88671875" style="62" customWidth="1"/>
    <col min="4" max="4" width="12.44140625" style="62" customWidth="1"/>
    <col min="5" max="5" width="20.109375" style="62" customWidth="1"/>
    <col min="6" max="6" width="17.77734375" style="62" customWidth="1"/>
    <col min="7" max="7" width="8.88671875" style="62" customWidth="1"/>
    <col min="8" max="8" width="24.5546875" style="62" customWidth="1"/>
    <col min="9" max="9" width="19" style="62" customWidth="1"/>
    <col min="10" max="10" width="23.77734375" style="62" customWidth="1"/>
    <col min="11" max="11" width="22.33203125" style="62" customWidth="1"/>
    <col min="12" max="12" width="23.6640625" style="62" customWidth="1"/>
    <col min="13" max="13" width="18.77734375" style="62" customWidth="1"/>
    <col min="14" max="14" width="15.44140625" style="62" customWidth="1"/>
    <col min="15" max="15" width="18.88671875" style="62" customWidth="1"/>
    <col min="16" max="16" width="19.21875" style="62" customWidth="1"/>
    <col min="17" max="17" width="18.109375" style="62" customWidth="1"/>
    <col min="18" max="18" width="15" style="62" customWidth="1"/>
    <col min="19" max="19" width="8.88671875" style="62" customWidth="1"/>
    <col min="20" max="20" width="16.109375" style="62" customWidth="1"/>
    <col min="21" max="21" width="28" style="62" customWidth="1"/>
    <col min="22" max="22" width="16.5546875" style="62" customWidth="1"/>
    <col min="23" max="23" width="18.44140625" style="62" customWidth="1"/>
    <col min="24" max="24" width="16.33203125" style="62" customWidth="1"/>
    <col min="25" max="25" width="8.88671875" style="62" customWidth="1"/>
    <col min="26" max="29" width="19.77734375" style="62" hidden="1" customWidth="1"/>
    <col min="30" max="16384" width="19.77734375" hidden="1"/>
  </cols>
  <sheetData>
    <row r="1" spans="1:29" s="5" customFormat="1" ht="24.6" customHeight="1">
      <c r="A1" s="62"/>
      <c r="B1" s="145" t="s">
        <v>140</v>
      </c>
      <c r="C1" s="146"/>
      <c r="D1" s="145"/>
      <c r="E1" s="146"/>
      <c r="F1" s="146"/>
      <c r="G1" s="147"/>
      <c r="H1" s="147"/>
      <c r="I1" s="147" t="s">
        <v>260</v>
      </c>
      <c r="J1" s="147"/>
      <c r="K1" s="147"/>
      <c r="L1" s="147"/>
      <c r="M1" s="147"/>
      <c r="N1" s="147"/>
      <c r="O1" s="147"/>
      <c r="P1" s="147"/>
      <c r="Q1" s="147"/>
      <c r="R1" s="147"/>
      <c r="S1" s="147"/>
      <c r="T1" s="147"/>
      <c r="U1" s="147"/>
      <c r="V1" s="147"/>
      <c r="W1" s="147"/>
      <c r="X1" s="147"/>
      <c r="Y1" s="62"/>
      <c r="Z1" s="62"/>
      <c r="AA1" s="62"/>
      <c r="AB1" s="62"/>
      <c r="AC1" s="62"/>
    </row>
    <row r="2" spans="1:29" s="5" customFormat="1" ht="18.600000000000001">
      <c r="A2" s="62"/>
      <c r="B2" s="146" t="s">
        <v>131</v>
      </c>
      <c r="C2" s="146"/>
      <c r="D2" s="148"/>
      <c r="E2" s="146"/>
      <c r="F2" s="146"/>
      <c r="G2" s="147"/>
      <c r="H2" s="147"/>
      <c r="I2" s="147"/>
      <c r="J2" s="147"/>
      <c r="K2" s="147"/>
      <c r="L2" s="147"/>
      <c r="M2" s="147"/>
      <c r="N2" s="147"/>
      <c r="O2" s="147"/>
      <c r="P2" s="147"/>
      <c r="Q2" s="147"/>
      <c r="R2" s="147"/>
      <c r="S2" s="147"/>
      <c r="T2" s="147"/>
      <c r="U2" s="147"/>
      <c r="V2" s="147"/>
      <c r="W2" s="147"/>
      <c r="X2" s="147"/>
      <c r="Y2" s="62"/>
      <c r="Z2" s="62"/>
      <c r="AA2" s="62"/>
      <c r="AB2" s="62"/>
      <c r="AC2" s="62"/>
    </row>
    <row r="3" spans="1:29" s="6" customFormat="1" ht="15" thickBot="1">
      <c r="A3" s="63"/>
      <c r="B3" s="149"/>
      <c r="C3" s="149"/>
      <c r="D3" s="149"/>
      <c r="E3" s="149"/>
      <c r="F3" s="149"/>
      <c r="G3" s="149"/>
      <c r="H3" s="149"/>
      <c r="I3" s="149"/>
      <c r="J3" s="149"/>
      <c r="K3" s="149"/>
      <c r="L3" s="149"/>
      <c r="M3" s="149"/>
      <c r="N3" s="149"/>
      <c r="O3" s="149"/>
      <c r="P3" s="149"/>
      <c r="Q3" s="149"/>
      <c r="R3" s="149"/>
      <c r="S3" s="149"/>
      <c r="T3" s="149"/>
      <c r="U3" s="149"/>
      <c r="V3" s="149"/>
      <c r="W3" s="149"/>
      <c r="X3" s="149"/>
      <c r="Y3" s="63"/>
      <c r="Z3" s="63"/>
      <c r="AA3" s="63"/>
      <c r="AB3" s="63"/>
      <c r="AC3" s="63"/>
    </row>
    <row r="4" spans="1:29" s="1" customFormat="1" ht="19.2">
      <c r="A4" s="62"/>
      <c r="B4" s="150"/>
      <c r="C4" s="147"/>
      <c r="D4" s="151"/>
      <c r="E4" s="147"/>
      <c r="F4" s="147"/>
      <c r="G4" s="147"/>
      <c r="H4" s="147"/>
      <c r="I4" s="147"/>
      <c r="J4" s="147"/>
      <c r="K4" s="147"/>
      <c r="L4" s="147"/>
      <c r="M4" s="147"/>
      <c r="N4" s="147"/>
      <c r="O4" s="147"/>
      <c r="P4" s="147"/>
      <c r="Q4" s="147"/>
      <c r="R4" s="147"/>
      <c r="S4" s="147"/>
      <c r="T4" s="147"/>
      <c r="U4" s="147"/>
      <c r="V4" s="147"/>
      <c r="W4" s="147"/>
      <c r="X4" s="147"/>
      <c r="Y4" s="62"/>
      <c r="Z4" s="62"/>
      <c r="AA4" s="62"/>
      <c r="AB4" s="62"/>
      <c r="AC4" s="62"/>
    </row>
    <row r="5" spans="1:29" s="1" customFormat="1" ht="18.600000000000001">
      <c r="A5" s="62"/>
      <c r="B5" s="152" t="s">
        <v>276</v>
      </c>
      <c r="C5" s="147"/>
      <c r="D5" s="151"/>
      <c r="E5" s="147"/>
      <c r="F5" s="147"/>
      <c r="G5" s="147"/>
      <c r="H5" s="147"/>
      <c r="I5" s="147"/>
      <c r="J5" s="147"/>
      <c r="K5" s="147"/>
      <c r="L5" s="147"/>
      <c r="M5" s="147"/>
      <c r="N5" s="147"/>
      <c r="O5" s="147"/>
      <c r="P5" s="147"/>
      <c r="Q5" s="147"/>
      <c r="R5" s="147"/>
      <c r="S5" s="147"/>
      <c r="T5" s="147"/>
      <c r="U5" s="147"/>
      <c r="V5" s="147"/>
      <c r="W5" s="147"/>
      <c r="X5" s="147"/>
      <c r="Y5" s="62"/>
      <c r="Z5" s="62"/>
      <c r="AA5" s="62"/>
      <c r="AB5" s="62"/>
      <c r="AC5" s="62"/>
    </row>
    <row r="6" spans="1:29">
      <c r="B6" s="147" t="s">
        <v>0</v>
      </c>
      <c r="C6" s="147"/>
      <c r="D6" s="147"/>
      <c r="E6" s="147"/>
      <c r="F6" s="147"/>
      <c r="G6" s="147"/>
      <c r="H6" s="147"/>
      <c r="I6" s="147"/>
      <c r="J6" s="147"/>
      <c r="K6" s="147"/>
      <c r="L6" s="147"/>
      <c r="M6" s="147"/>
      <c r="N6" s="147"/>
      <c r="O6" s="147"/>
      <c r="P6" s="147"/>
      <c r="Q6" s="147"/>
      <c r="R6" s="147"/>
      <c r="S6" s="147"/>
      <c r="T6" s="147"/>
      <c r="U6" s="147"/>
      <c r="V6" s="147"/>
      <c r="W6" s="147"/>
      <c r="X6" s="147"/>
    </row>
    <row r="7" spans="1:29">
      <c r="B7" s="147"/>
      <c r="C7" s="147"/>
      <c r="D7" s="147"/>
      <c r="E7" s="147"/>
      <c r="F7" s="147"/>
      <c r="G7" s="147"/>
      <c r="H7" s="147"/>
      <c r="I7" s="147"/>
      <c r="J7" s="147"/>
      <c r="K7" s="147"/>
      <c r="L7" s="147"/>
      <c r="M7" s="147"/>
      <c r="N7" s="147"/>
      <c r="O7" s="147"/>
      <c r="P7" s="147"/>
      <c r="Q7" s="147"/>
      <c r="R7" s="147"/>
      <c r="S7" s="147"/>
      <c r="T7" s="147"/>
      <c r="U7" s="147"/>
      <c r="V7" s="147"/>
      <c r="W7" s="147"/>
      <c r="X7" s="147"/>
    </row>
    <row r="8" spans="1:29">
      <c r="B8" s="147" t="s">
        <v>277</v>
      </c>
      <c r="C8" s="147"/>
      <c r="D8" s="147"/>
      <c r="E8" s="147"/>
      <c r="F8" s="147"/>
      <c r="G8" s="147"/>
      <c r="H8" s="147">
        <f>'4. Benchmarking 2019'!$C$53</f>
        <v>652035459.94190156</v>
      </c>
      <c r="I8" s="147"/>
      <c r="J8" s="147"/>
      <c r="K8" s="147"/>
      <c r="L8" s="147"/>
      <c r="M8" s="147"/>
      <c r="N8" s="147"/>
      <c r="O8" s="147"/>
      <c r="P8" s="147"/>
      <c r="Q8" s="147"/>
      <c r="R8" s="147"/>
      <c r="S8" s="147"/>
      <c r="T8" s="147"/>
      <c r="U8" s="147"/>
      <c r="V8" s="147"/>
      <c r="W8" s="147"/>
      <c r="X8" s="147"/>
    </row>
    <row r="9" spans="1:29">
      <c r="B9" s="147"/>
      <c r="C9" s="147"/>
      <c r="D9" s="147"/>
      <c r="E9" s="147"/>
      <c r="F9" s="147"/>
      <c r="G9" s="147"/>
      <c r="H9" s="147"/>
      <c r="I9" s="147"/>
      <c r="J9" s="147"/>
      <c r="K9" s="147"/>
      <c r="L9" s="147"/>
      <c r="M9" s="147"/>
      <c r="N9" s="147"/>
      <c r="O9" s="147"/>
      <c r="P9" s="147"/>
      <c r="Q9" s="147"/>
      <c r="R9" s="147"/>
      <c r="S9" s="147"/>
      <c r="T9" s="147"/>
      <c r="U9" s="147"/>
      <c r="V9" s="147"/>
      <c r="W9" s="147"/>
      <c r="X9" s="147"/>
    </row>
    <row r="10" spans="1:29">
      <c r="B10" s="153" t="s">
        <v>130</v>
      </c>
      <c r="C10" s="153"/>
      <c r="D10" s="153"/>
      <c r="E10" s="153"/>
      <c r="F10" s="147"/>
      <c r="G10" s="147"/>
      <c r="H10" s="147"/>
      <c r="I10" s="147"/>
      <c r="J10" s="147"/>
      <c r="K10" s="147"/>
      <c r="L10" s="147"/>
      <c r="M10" s="147"/>
      <c r="N10" s="147"/>
      <c r="O10" s="147"/>
      <c r="P10" s="147"/>
      <c r="Q10" s="147"/>
      <c r="R10" s="147"/>
      <c r="S10" s="147"/>
      <c r="T10" s="147"/>
      <c r="U10" s="147"/>
      <c r="V10" s="147"/>
      <c r="W10" s="147"/>
      <c r="X10" s="147"/>
    </row>
    <row r="11" spans="1:29">
      <c r="B11" s="147"/>
      <c r="C11" s="147"/>
      <c r="D11" s="147"/>
      <c r="E11" s="147"/>
      <c r="F11" s="147"/>
      <c r="G11" s="147"/>
      <c r="H11" s="147"/>
      <c r="I11" s="147"/>
      <c r="J11" s="147"/>
      <c r="K11" s="147"/>
      <c r="L11" s="147"/>
      <c r="M11" s="147"/>
      <c r="N11" s="147"/>
      <c r="O11" s="147"/>
      <c r="P11" s="147"/>
      <c r="Q11" s="147"/>
      <c r="R11" s="147"/>
      <c r="S11" s="147"/>
      <c r="T11" s="147"/>
      <c r="U11" s="147"/>
      <c r="V11" s="147"/>
      <c r="W11" s="147"/>
      <c r="X11" s="147"/>
    </row>
    <row r="12" spans="1:29" ht="15" thickBot="1">
      <c r="B12" s="147" t="s">
        <v>156</v>
      </c>
      <c r="C12" s="147"/>
      <c r="D12" s="147"/>
      <c r="E12" s="147"/>
      <c r="F12" s="147"/>
      <c r="G12" s="147"/>
      <c r="H12" s="210">
        <f>'4. Benchmarking 2019'!$AD$12</f>
        <v>53610000</v>
      </c>
      <c r="I12" s="147"/>
      <c r="J12" s="147"/>
      <c r="K12" s="147"/>
      <c r="L12" s="147"/>
      <c r="M12" s="147"/>
      <c r="N12" s="147"/>
      <c r="O12" s="147"/>
      <c r="P12" s="147"/>
      <c r="Q12" s="147"/>
      <c r="R12" s="147"/>
      <c r="S12" s="147"/>
      <c r="T12" s="147"/>
      <c r="U12" s="147"/>
      <c r="V12" s="147"/>
      <c r="W12" s="147"/>
      <c r="X12" s="147"/>
    </row>
    <row r="13" spans="1:29" ht="15" thickBot="1">
      <c r="B13" s="153" t="s">
        <v>163</v>
      </c>
      <c r="C13" s="153"/>
      <c r="D13" s="153"/>
      <c r="E13" s="153"/>
      <c r="F13" s="147"/>
      <c r="G13" s="147"/>
      <c r="H13" s="211">
        <f>H8-H12</f>
        <v>598425459.94190156</v>
      </c>
      <c r="I13" s="147"/>
      <c r="J13" s="147"/>
      <c r="K13" s="147"/>
      <c r="L13" s="147"/>
      <c r="M13" s="147"/>
      <c r="N13" s="147"/>
      <c r="O13" s="147"/>
      <c r="P13" s="147"/>
      <c r="Q13" s="147"/>
      <c r="R13" s="147"/>
      <c r="S13" s="147"/>
      <c r="T13" s="147"/>
      <c r="U13" s="147"/>
      <c r="V13" s="147"/>
      <c r="W13" s="147"/>
      <c r="X13" s="147"/>
    </row>
    <row r="14" spans="1:29" ht="15" thickBot="1">
      <c r="B14" s="153" t="s">
        <v>259</v>
      </c>
      <c r="C14" s="147"/>
      <c r="D14" s="147"/>
      <c r="E14" s="147"/>
      <c r="F14" s="147"/>
      <c r="G14" s="147"/>
      <c r="H14" s="211">
        <f>'4. Benchmarking 2019'!$G$53-H12</f>
        <v>658493909.65203178</v>
      </c>
      <c r="I14" s="147"/>
      <c r="J14" s="147"/>
      <c r="K14" s="147"/>
      <c r="L14" s="147"/>
      <c r="M14" s="147"/>
      <c r="N14" s="147"/>
      <c r="O14" s="147"/>
      <c r="P14" s="147"/>
      <c r="Q14" s="147"/>
      <c r="R14" s="147"/>
      <c r="S14" s="147"/>
      <c r="T14" s="147"/>
      <c r="U14" s="147"/>
      <c r="V14" s="147"/>
      <c r="W14" s="147"/>
      <c r="X14" s="147"/>
    </row>
    <row r="15" spans="1:29" s="5" customFormat="1" ht="15" thickBot="1">
      <c r="A15" s="62"/>
      <c r="B15" s="153"/>
      <c r="C15" s="147"/>
      <c r="D15" s="147"/>
      <c r="E15" s="147"/>
      <c r="F15" s="147"/>
      <c r="G15" s="147"/>
      <c r="H15" s="212"/>
      <c r="I15" s="147"/>
      <c r="J15" s="147"/>
      <c r="K15" s="147"/>
      <c r="L15" s="147"/>
      <c r="M15" s="147"/>
      <c r="N15" s="147"/>
      <c r="O15" s="147"/>
      <c r="P15" s="147"/>
      <c r="Q15" s="147"/>
      <c r="R15" s="147"/>
      <c r="S15" s="147"/>
      <c r="T15" s="147"/>
      <c r="U15" s="147"/>
      <c r="V15" s="147"/>
      <c r="W15" s="147"/>
      <c r="X15" s="147"/>
      <c r="Y15" s="62"/>
      <c r="Z15" s="62"/>
      <c r="AA15" s="62"/>
      <c r="AB15" s="62"/>
      <c r="AC15" s="62"/>
    </row>
    <row r="16" spans="1:29" s="5" customFormat="1" ht="15" thickBot="1">
      <c r="A16" s="62"/>
      <c r="B16" s="147" t="s">
        <v>164</v>
      </c>
      <c r="C16" s="147"/>
      <c r="D16" s="147"/>
      <c r="E16" s="147"/>
      <c r="F16" s="214">
        <f>H13</f>
        <v>598425459.94190156</v>
      </c>
      <c r="G16" s="182" t="s">
        <v>1</v>
      </c>
      <c r="H16" s="213">
        <f>H14</f>
        <v>658493909.65203178</v>
      </c>
      <c r="I16" s="147" t="s">
        <v>149</v>
      </c>
      <c r="J16" s="181">
        <f>H16-F16</f>
        <v>60068449.710130215</v>
      </c>
      <c r="K16" s="147"/>
      <c r="L16" s="147"/>
      <c r="M16" s="147"/>
      <c r="N16" s="147"/>
      <c r="O16" s="147"/>
      <c r="P16" s="147"/>
      <c r="Q16" s="147"/>
      <c r="R16" s="147"/>
      <c r="S16" s="147"/>
      <c r="T16" s="147"/>
      <c r="U16" s="147"/>
      <c r="V16" s="147"/>
      <c r="W16" s="147"/>
      <c r="X16" s="147"/>
      <c r="Y16" s="62"/>
      <c r="Z16" s="62"/>
      <c r="AA16" s="62"/>
      <c r="AB16" s="62"/>
      <c r="AC16" s="62"/>
    </row>
    <row r="17" spans="1:29" s="6" customFormat="1" ht="15" thickBot="1">
      <c r="A17" s="63"/>
      <c r="B17" s="149"/>
      <c r="C17" s="149"/>
      <c r="D17" s="149"/>
      <c r="E17" s="149"/>
      <c r="F17" s="149"/>
      <c r="G17" s="149"/>
      <c r="H17" s="149"/>
      <c r="I17" s="149"/>
      <c r="J17" s="149"/>
      <c r="K17" s="149"/>
      <c r="L17" s="149"/>
      <c r="M17" s="149"/>
      <c r="N17" s="149"/>
      <c r="O17" s="149"/>
      <c r="P17" s="149"/>
      <c r="Q17" s="149"/>
      <c r="R17" s="149"/>
      <c r="S17" s="149"/>
      <c r="T17" s="149"/>
      <c r="U17" s="149"/>
      <c r="V17" s="149"/>
      <c r="W17" s="149"/>
      <c r="X17" s="149"/>
      <c r="Y17" s="63"/>
      <c r="Z17" s="63"/>
      <c r="AA17" s="63"/>
      <c r="AB17" s="63"/>
      <c r="AC17" s="63"/>
    </row>
    <row r="18" spans="1:29">
      <c r="B18" s="147"/>
      <c r="C18" s="147"/>
      <c r="D18" s="147"/>
      <c r="E18" s="147"/>
      <c r="F18" s="147"/>
      <c r="G18" s="147"/>
      <c r="H18" s="147"/>
      <c r="I18" s="147"/>
      <c r="J18" s="147"/>
      <c r="K18" s="147"/>
      <c r="L18" s="147"/>
      <c r="M18" s="147"/>
      <c r="N18" s="147"/>
      <c r="O18" s="147"/>
      <c r="P18" s="147"/>
      <c r="Q18" s="147"/>
      <c r="R18" s="147"/>
      <c r="S18" s="147"/>
      <c r="T18" s="147"/>
      <c r="U18" s="147"/>
      <c r="V18" s="147"/>
      <c r="W18" s="147"/>
      <c r="X18" s="147"/>
    </row>
    <row r="19" spans="1:29" ht="17.399999999999999">
      <c r="B19" s="152" t="s">
        <v>47</v>
      </c>
      <c r="C19" s="153"/>
      <c r="D19" s="153"/>
      <c r="E19" s="153"/>
      <c r="F19" s="153"/>
      <c r="G19" s="147"/>
      <c r="H19" s="147"/>
      <c r="I19" s="147"/>
      <c r="J19" s="147"/>
      <c r="K19" s="147"/>
      <c r="L19" s="147"/>
      <c r="M19" s="147"/>
      <c r="N19" s="147"/>
      <c r="O19" s="147"/>
      <c r="P19" s="147"/>
      <c r="Q19" s="147"/>
      <c r="R19" s="147"/>
      <c r="S19" s="147"/>
      <c r="T19" s="147"/>
      <c r="U19" s="147"/>
      <c r="V19" s="147"/>
      <c r="W19" s="147"/>
      <c r="X19" s="147"/>
    </row>
    <row r="20" spans="1:29">
      <c r="B20" s="147" t="s">
        <v>209</v>
      </c>
      <c r="C20" s="147"/>
      <c r="D20" s="147"/>
      <c r="E20" s="147"/>
      <c r="F20" s="147"/>
      <c r="G20" s="147"/>
      <c r="H20" s="147"/>
      <c r="I20" s="147"/>
      <c r="J20" s="147"/>
      <c r="K20" s="147"/>
      <c r="L20" s="147"/>
      <c r="M20" s="147"/>
      <c r="N20" s="147"/>
      <c r="O20" s="147"/>
      <c r="P20" s="147"/>
      <c r="Q20" s="147"/>
      <c r="R20" s="147"/>
      <c r="S20" s="147"/>
      <c r="T20" s="147"/>
      <c r="U20" s="147"/>
      <c r="V20" s="147"/>
      <c r="W20" s="147"/>
      <c r="X20" s="147"/>
    </row>
    <row r="21" spans="1:29" s="5" customFormat="1">
      <c r="A21" s="62"/>
      <c r="B21" s="147"/>
      <c r="C21" s="147"/>
      <c r="D21" s="147"/>
      <c r="E21" s="147"/>
      <c r="F21" s="147"/>
      <c r="G21" s="147"/>
      <c r="H21" s="147"/>
      <c r="I21" s="147"/>
      <c r="J21" s="147"/>
      <c r="K21" s="147"/>
      <c r="L21" s="147"/>
      <c r="M21" s="147"/>
      <c r="N21" s="147"/>
      <c r="O21" s="147"/>
      <c r="P21" s="147"/>
      <c r="Q21" s="147"/>
      <c r="R21" s="147"/>
      <c r="S21" s="147"/>
      <c r="T21" s="147"/>
      <c r="U21" s="147"/>
      <c r="V21" s="147"/>
      <c r="W21" s="147"/>
      <c r="X21" s="147"/>
      <c r="Y21" s="62"/>
      <c r="Z21" s="62"/>
      <c r="AA21" s="62"/>
      <c r="AB21" s="62"/>
      <c r="AC21" s="62"/>
    </row>
    <row r="22" spans="1:29">
      <c r="B22" s="147" t="s">
        <v>217</v>
      </c>
      <c r="C22" s="147"/>
      <c r="D22" s="183"/>
      <c r="E22" s="147"/>
      <c r="F22" s="147"/>
      <c r="G22" s="147"/>
      <c r="H22" s="269">
        <f>'3. Omkostningsgrundlag for gene'!$I$51</f>
        <v>5433287576.2861443</v>
      </c>
      <c r="I22" s="147"/>
      <c r="J22" s="147"/>
      <c r="K22" s="147"/>
      <c r="L22" s="147"/>
      <c r="M22" s="147"/>
      <c r="N22" s="147"/>
      <c r="O22" s="147"/>
      <c r="P22" s="147"/>
      <c r="Q22" s="147"/>
      <c r="R22" s="147"/>
      <c r="S22" s="147"/>
      <c r="T22" s="147"/>
      <c r="U22" s="147"/>
      <c r="V22" s="147"/>
      <c r="W22" s="147"/>
      <c r="X22" s="147"/>
    </row>
    <row r="23" spans="1:29" s="5" customFormat="1" ht="15" thickBot="1">
      <c r="A23" s="62"/>
      <c r="B23" s="147" t="s">
        <v>230</v>
      </c>
      <c r="C23" s="147"/>
      <c r="D23" s="183"/>
      <c r="E23" s="147"/>
      <c r="F23" s="147"/>
      <c r="G23" s="147"/>
      <c r="H23" s="269">
        <f>H22-H12-F60</f>
        <v>5375609601.4513111</v>
      </c>
      <c r="I23" s="147"/>
      <c r="J23" s="147"/>
      <c r="K23" s="147"/>
      <c r="L23" s="147"/>
      <c r="M23" s="147"/>
      <c r="N23" s="147"/>
      <c r="O23" s="147"/>
      <c r="P23" s="147"/>
      <c r="Q23" s="147"/>
      <c r="R23" s="147"/>
      <c r="S23" s="147"/>
      <c r="T23" s="147"/>
      <c r="U23" s="147"/>
      <c r="V23" s="147"/>
      <c r="W23" s="147"/>
      <c r="X23" s="147"/>
      <c r="Y23" s="62"/>
      <c r="Z23" s="62"/>
      <c r="AA23" s="62"/>
      <c r="AB23" s="62"/>
      <c r="AC23" s="62"/>
    </row>
    <row r="24" spans="1:29">
      <c r="B24" s="147" t="s">
        <v>218</v>
      </c>
      <c r="C24" s="147"/>
      <c r="D24" s="147"/>
      <c r="E24" s="154" t="s">
        <v>48</v>
      </c>
      <c r="F24" s="155"/>
      <c r="G24" s="155"/>
      <c r="H24" s="216">
        <f>0.005</f>
        <v>5.0000000000000001E-3</v>
      </c>
      <c r="I24" s="147"/>
      <c r="K24" s="212"/>
      <c r="L24" s="147"/>
      <c r="M24" s="147"/>
      <c r="N24" s="147"/>
      <c r="O24" s="147"/>
      <c r="P24" s="147"/>
      <c r="Q24" s="147"/>
      <c r="R24" s="147"/>
      <c r="S24" s="147"/>
      <c r="T24" s="147"/>
      <c r="U24" s="147"/>
      <c r="V24" s="147"/>
      <c r="W24" s="147"/>
      <c r="X24" s="147"/>
    </row>
    <row r="25" spans="1:29" ht="15" thickBot="1">
      <c r="B25" s="147"/>
      <c r="C25" s="147"/>
      <c r="D25" s="147"/>
      <c r="E25" s="156" t="s">
        <v>49</v>
      </c>
      <c r="F25" s="149"/>
      <c r="G25" s="149"/>
      <c r="H25" s="217">
        <v>0.01</v>
      </c>
      <c r="I25" s="147"/>
      <c r="J25" s="147"/>
      <c r="K25" s="147"/>
      <c r="L25" s="147"/>
      <c r="M25" s="147"/>
      <c r="N25" s="147"/>
      <c r="O25" s="147"/>
      <c r="P25" s="147"/>
      <c r="Q25" s="147"/>
      <c r="R25" s="147"/>
      <c r="S25" s="147"/>
      <c r="T25" s="147"/>
      <c r="U25" s="147"/>
      <c r="V25" s="147"/>
      <c r="W25" s="147"/>
      <c r="X25" s="147"/>
    </row>
    <row r="26" spans="1:29" ht="15" thickBot="1">
      <c r="B26" s="147"/>
      <c r="C26" s="147"/>
      <c r="D26" s="147"/>
      <c r="E26" s="147"/>
      <c r="F26" s="147"/>
      <c r="G26" s="147"/>
      <c r="H26" s="147"/>
      <c r="I26" s="147"/>
      <c r="J26" s="147"/>
      <c r="K26" s="147"/>
      <c r="L26" s="147"/>
      <c r="M26" s="147"/>
      <c r="N26" s="147"/>
      <c r="O26" s="147"/>
      <c r="P26" s="147"/>
      <c r="Q26" s="147"/>
      <c r="R26" s="147"/>
      <c r="S26" s="147"/>
      <c r="T26" s="147"/>
      <c r="U26" s="147"/>
      <c r="V26" s="147"/>
      <c r="W26" s="147"/>
      <c r="X26" s="147"/>
    </row>
    <row r="27" spans="1:29">
      <c r="B27" s="147" t="s">
        <v>219</v>
      </c>
      <c r="C27" s="147"/>
      <c r="D27" s="147"/>
      <c r="E27" s="154" t="s">
        <v>51</v>
      </c>
      <c r="F27" s="155"/>
      <c r="G27" s="155"/>
      <c r="H27" s="250">
        <f>(H23-(H23*(1-H24)^10))</f>
        <v>262812852.08189774</v>
      </c>
      <c r="I27" s="147"/>
      <c r="J27" s="147"/>
      <c r="K27" s="147"/>
      <c r="L27" s="146"/>
      <c r="M27" s="146"/>
      <c r="N27" s="146"/>
      <c r="O27" s="210"/>
      <c r="P27" s="147"/>
      <c r="Q27" s="147"/>
      <c r="R27" s="147"/>
      <c r="S27" s="147"/>
      <c r="T27" s="147"/>
      <c r="U27" s="147"/>
      <c r="V27" s="147"/>
      <c r="W27" s="147"/>
      <c r="X27" s="147"/>
    </row>
    <row r="28" spans="1:29" ht="15" thickBot="1">
      <c r="B28" s="147"/>
      <c r="C28" s="147"/>
      <c r="D28" s="147"/>
      <c r="E28" s="156" t="s">
        <v>52</v>
      </c>
      <c r="F28" s="149"/>
      <c r="G28" s="149"/>
      <c r="H28" s="251">
        <f>(H23-(H23*(1-H25)^10))</f>
        <v>514004635.65352249</v>
      </c>
      <c r="I28" s="147"/>
      <c r="J28" s="147"/>
      <c r="K28" s="147"/>
      <c r="L28" s="146"/>
      <c r="M28" s="146"/>
      <c r="N28" s="146"/>
      <c r="O28" s="210"/>
      <c r="P28" s="147"/>
      <c r="Q28" s="147"/>
      <c r="R28" s="147"/>
      <c r="S28" s="147"/>
      <c r="T28" s="147"/>
      <c r="U28" s="147"/>
      <c r="V28" s="147"/>
      <c r="W28" s="147"/>
      <c r="X28" s="147"/>
    </row>
    <row r="29" spans="1:29" ht="15" thickBot="1">
      <c r="B29" s="147"/>
      <c r="C29" s="147"/>
      <c r="D29" s="147"/>
      <c r="E29" s="147"/>
      <c r="F29" s="147"/>
      <c r="G29" s="147"/>
      <c r="H29" s="147"/>
      <c r="I29" s="147"/>
      <c r="J29" s="147"/>
      <c r="K29" s="147"/>
      <c r="L29" s="147"/>
      <c r="M29" s="147"/>
      <c r="N29" s="147"/>
      <c r="O29" s="147"/>
      <c r="P29" s="147"/>
      <c r="Q29" s="147"/>
      <c r="R29" s="147"/>
      <c r="S29" s="147"/>
      <c r="T29" s="147"/>
      <c r="U29" s="147"/>
      <c r="V29" s="147"/>
      <c r="W29" s="147"/>
      <c r="X29" s="147"/>
    </row>
    <row r="30" spans="1:29" ht="15" thickBot="1">
      <c r="B30" s="147" t="s">
        <v>278</v>
      </c>
      <c r="C30" s="147"/>
      <c r="D30" s="147"/>
      <c r="E30" s="147"/>
      <c r="F30" s="276">
        <f>H27+F16</f>
        <v>861238312.0237993</v>
      </c>
      <c r="G30" s="277" t="s">
        <v>1</v>
      </c>
      <c r="H30" s="278">
        <f>H16+H28</f>
        <v>1172498545.3055544</v>
      </c>
      <c r="I30" s="215" t="s">
        <v>121</v>
      </c>
      <c r="J30" s="249">
        <f>H30-F30</f>
        <v>311260233.28175509</v>
      </c>
      <c r="K30" s="147"/>
      <c r="L30" s="147"/>
      <c r="M30" s="147"/>
      <c r="N30" s="147"/>
      <c r="O30" s="147"/>
      <c r="P30" s="147"/>
      <c r="Q30" s="147"/>
      <c r="R30" s="147"/>
      <c r="S30" s="147"/>
      <c r="T30" s="147"/>
      <c r="U30" s="147"/>
      <c r="V30" s="147"/>
      <c r="W30" s="147"/>
      <c r="X30" s="147"/>
    </row>
    <row r="31" spans="1:29" s="6" customFormat="1" ht="15" thickBot="1">
      <c r="A31" s="63"/>
      <c r="B31" s="149"/>
      <c r="C31" s="149"/>
      <c r="D31" s="149"/>
      <c r="E31" s="149"/>
      <c r="F31" s="149"/>
      <c r="G31" s="149"/>
      <c r="H31" s="149"/>
      <c r="I31" s="149"/>
      <c r="J31" s="149"/>
      <c r="K31" s="149"/>
      <c r="L31" s="149"/>
      <c r="M31" s="149"/>
      <c r="N31" s="149"/>
      <c r="O31" s="149"/>
      <c r="P31" s="149"/>
      <c r="Q31" s="149"/>
      <c r="R31" s="149"/>
      <c r="S31" s="149"/>
      <c r="T31" s="149"/>
      <c r="U31" s="149"/>
      <c r="V31" s="149"/>
      <c r="W31" s="149"/>
      <c r="X31" s="149"/>
      <c r="Y31" s="63"/>
      <c r="Z31" s="63"/>
      <c r="AA31" s="63"/>
      <c r="AB31" s="63"/>
      <c r="AC31" s="63"/>
    </row>
    <row r="32" spans="1:29">
      <c r="B32" s="147"/>
      <c r="C32" s="147"/>
      <c r="D32" s="147"/>
      <c r="E32" s="147"/>
      <c r="F32" s="147"/>
      <c r="G32" s="147"/>
      <c r="H32" s="147"/>
      <c r="I32" s="147"/>
      <c r="J32" s="147"/>
      <c r="K32" s="147"/>
      <c r="L32" s="147"/>
      <c r="M32" s="147"/>
      <c r="N32" s="147"/>
      <c r="O32" s="147"/>
      <c r="P32" s="147"/>
      <c r="Q32" s="147"/>
      <c r="R32" s="147"/>
      <c r="S32" s="147"/>
      <c r="T32" s="147"/>
      <c r="U32" s="147"/>
      <c r="V32" s="147"/>
      <c r="W32" s="147"/>
      <c r="X32" s="147"/>
      <c r="Y32" s="62">
        <f>A1</f>
        <v>0</v>
      </c>
    </row>
    <row r="33" spans="1:29" ht="17.399999999999999">
      <c r="B33" s="152" t="s">
        <v>53</v>
      </c>
      <c r="C33" s="153"/>
      <c r="D33" s="153"/>
      <c r="E33" s="153"/>
      <c r="F33" s="153"/>
      <c r="G33" s="147"/>
      <c r="H33" s="147"/>
      <c r="I33" s="147"/>
      <c r="J33" s="147"/>
      <c r="K33" s="147"/>
      <c r="L33" s="147"/>
      <c r="M33" s="147"/>
      <c r="N33" s="147"/>
      <c r="O33" s="147"/>
      <c r="P33" s="147"/>
      <c r="Q33" s="147"/>
      <c r="R33" s="147"/>
      <c r="S33" s="147"/>
      <c r="T33" s="147"/>
      <c r="U33" s="147"/>
      <c r="V33" s="147"/>
      <c r="W33" s="147"/>
      <c r="X33" s="147"/>
    </row>
    <row r="34" spans="1:29" s="14" customFormat="1">
      <c r="A34" s="197"/>
      <c r="B34" s="198" t="s">
        <v>97</v>
      </c>
      <c r="C34" s="198"/>
      <c r="D34" s="198"/>
      <c r="E34" s="198"/>
      <c r="F34" s="198"/>
      <c r="G34" s="198"/>
      <c r="H34" s="198"/>
      <c r="I34" s="198"/>
      <c r="J34" s="198"/>
      <c r="K34" s="198"/>
      <c r="L34" s="198"/>
      <c r="M34" s="198"/>
      <c r="N34" s="198"/>
      <c r="O34" s="198"/>
      <c r="P34" s="198"/>
      <c r="Q34" s="198"/>
      <c r="R34" s="198"/>
      <c r="S34" s="198"/>
      <c r="T34" s="198"/>
      <c r="U34" s="198"/>
      <c r="V34" s="198"/>
      <c r="W34" s="198"/>
      <c r="X34" s="198"/>
      <c r="Y34" s="197"/>
      <c r="Z34" s="197"/>
      <c r="AA34" s="197"/>
      <c r="AB34" s="197"/>
      <c r="AC34" s="197"/>
    </row>
    <row r="35" spans="1:29" s="2" customFormat="1">
      <c r="A35" s="62"/>
      <c r="B35" s="147"/>
      <c r="C35" s="147"/>
      <c r="D35" s="147"/>
      <c r="E35" s="147"/>
      <c r="F35" s="147"/>
      <c r="G35" s="147"/>
      <c r="H35" s="158"/>
      <c r="I35" s="147"/>
      <c r="J35" s="147"/>
      <c r="K35" s="147"/>
      <c r="L35" s="147"/>
      <c r="M35" s="147"/>
      <c r="N35" s="147"/>
      <c r="O35" s="147"/>
      <c r="P35" s="147"/>
      <c r="Q35" s="147"/>
      <c r="R35" s="147"/>
      <c r="S35" s="147"/>
      <c r="T35" s="147"/>
      <c r="U35" s="147"/>
      <c r="V35" s="147"/>
      <c r="W35" s="147"/>
      <c r="X35" s="147"/>
      <c r="Y35" s="62"/>
      <c r="Z35" s="62"/>
      <c r="AA35" s="62"/>
      <c r="AB35" s="62"/>
      <c r="AC35" s="62"/>
    </row>
    <row r="36" spans="1:29" s="2" customFormat="1">
      <c r="A36" s="62"/>
      <c r="B36" s="147"/>
      <c r="C36" s="147"/>
      <c r="D36" s="147"/>
      <c r="E36" s="147"/>
      <c r="F36" s="147"/>
      <c r="G36" s="147"/>
      <c r="H36" s="183" t="s">
        <v>151</v>
      </c>
      <c r="I36" s="183"/>
      <c r="J36" s="183"/>
      <c r="K36" s="147"/>
      <c r="L36" s="147"/>
      <c r="M36" s="147"/>
      <c r="N36" s="147"/>
      <c r="O36" s="147"/>
      <c r="P36" s="147"/>
      <c r="Q36" s="147"/>
      <c r="R36" s="147"/>
      <c r="S36" s="147"/>
      <c r="T36" s="183" t="s">
        <v>157</v>
      </c>
      <c r="U36" s="147"/>
      <c r="V36" s="147"/>
      <c r="W36" s="147"/>
      <c r="X36" s="147"/>
      <c r="Y36" s="62"/>
      <c r="Z36" s="62"/>
      <c r="AA36" s="62"/>
      <c r="AB36" s="62"/>
      <c r="AC36" s="62"/>
    </row>
    <row r="37" spans="1:29" s="5" customFormat="1">
      <c r="A37" s="62"/>
      <c r="B37" s="147" t="s">
        <v>95</v>
      </c>
      <c r="C37" s="147"/>
      <c r="D37" s="147"/>
      <c r="E37" s="147"/>
      <c r="F37" s="147"/>
      <c r="G37" s="147"/>
      <c r="H37" s="159" t="s">
        <v>99</v>
      </c>
      <c r="I37" s="159"/>
      <c r="J37" s="159" t="s">
        <v>223</v>
      </c>
      <c r="K37" s="159"/>
      <c r="L37" s="159"/>
      <c r="M37" s="159"/>
      <c r="N37" s="159"/>
      <c r="O37" s="159"/>
      <c r="P37" s="159" t="s">
        <v>222</v>
      </c>
      <c r="Q37" s="159"/>
      <c r="R37" s="160"/>
      <c r="S37" s="147"/>
      <c r="T37" s="161"/>
      <c r="U37" s="162" t="s">
        <v>50</v>
      </c>
      <c r="V37" s="163"/>
      <c r="W37" s="164" t="s">
        <v>49</v>
      </c>
      <c r="X37" s="165"/>
    </row>
    <row r="38" spans="1:29" s="5" customFormat="1">
      <c r="A38" s="62"/>
      <c r="B38" s="147" t="s">
        <v>150</v>
      </c>
      <c r="C38" s="147"/>
      <c r="D38" s="147"/>
      <c r="E38" s="147"/>
      <c r="F38" s="147"/>
      <c r="G38" s="147"/>
      <c r="H38" s="160"/>
      <c r="I38" s="160" t="s">
        <v>54</v>
      </c>
      <c r="J38" s="160" t="s">
        <v>55</v>
      </c>
      <c r="K38" s="160"/>
      <c r="L38" s="160"/>
      <c r="M38" s="160"/>
      <c r="N38" s="160"/>
      <c r="O38" s="160" t="s">
        <v>54</v>
      </c>
      <c r="P38" s="160" t="s">
        <v>55</v>
      </c>
      <c r="Q38" s="160"/>
      <c r="R38" s="160"/>
      <c r="S38" s="147"/>
      <c r="T38" s="161"/>
      <c r="U38" s="163" t="s">
        <v>60</v>
      </c>
      <c r="V38" s="163" t="s">
        <v>57</v>
      </c>
      <c r="W38" s="165" t="s">
        <v>60</v>
      </c>
      <c r="X38" s="165" t="s">
        <v>57</v>
      </c>
    </row>
    <row r="39" spans="1:29" s="5" customFormat="1">
      <c r="A39" s="62"/>
      <c r="B39" s="147"/>
      <c r="C39" s="147"/>
      <c r="D39" s="147"/>
      <c r="E39" s="147"/>
      <c r="F39" s="147"/>
      <c r="G39" s="147"/>
      <c r="H39" s="203">
        <v>2020</v>
      </c>
      <c r="I39" s="262">
        <f>F43*$F$50*(($F$48*$F$49)+($E$48*$E$49))</f>
        <v>44842052.042569369</v>
      </c>
      <c r="J39" s="262">
        <f>(F43-I39)</f>
        <v>513763392.27470708</v>
      </c>
      <c r="K39" s="160"/>
      <c r="L39" s="160"/>
      <c r="M39" s="160"/>
      <c r="N39" s="203">
        <v>2020</v>
      </c>
      <c r="O39" s="247">
        <f>F44*$F$50*(($F$48*$F$49)+($E$48*$E$49))</f>
        <v>45360504.09305007</v>
      </c>
      <c r="P39" s="262">
        <f>(F44-O39)</f>
        <v>519703389.93435663</v>
      </c>
      <c r="Q39" s="160"/>
      <c r="R39" s="160"/>
      <c r="S39" s="147"/>
      <c r="T39" s="221">
        <v>2020</v>
      </c>
      <c r="U39" s="163">
        <f>'7. Vægte til brug for indfriels'!I78</f>
        <v>0.29710540688148551</v>
      </c>
      <c r="V39" s="163">
        <f>'7. Vægte til brug for indfriels'!J78</f>
        <v>0.70289459311851443</v>
      </c>
      <c r="W39" s="165">
        <f>'7. Vægte til brug for indfriels'!K78</f>
        <v>0.29710540688148551</v>
      </c>
      <c r="X39" s="165">
        <f>'7. Vægte til brug for indfriels'!L78</f>
        <v>0.70289459311851443</v>
      </c>
    </row>
    <row r="40" spans="1:29" s="5" customFormat="1">
      <c r="A40" s="62"/>
      <c r="B40" s="147"/>
      <c r="C40" s="147"/>
      <c r="D40" s="147"/>
      <c r="E40" s="147"/>
      <c r="F40" s="147"/>
      <c r="G40" s="147"/>
      <c r="H40" s="203">
        <v>2021</v>
      </c>
      <c r="I40" s="262">
        <f>J39*$F$50*(($F$48*$F$49)+($E$48*$E$49))</f>
        <v>41242356.314852111</v>
      </c>
      <c r="J40" s="262">
        <f>(J39-I40)</f>
        <v>472521035.95985496</v>
      </c>
      <c r="K40" s="160"/>
      <c r="L40" s="160"/>
      <c r="M40" s="160"/>
      <c r="N40" s="203">
        <v>2021</v>
      </c>
      <c r="O40" s="247">
        <f>P39*$F$50*(($F$48*$F$49)+($E$48*$E$49))</f>
        <v>41719189.626980476</v>
      </c>
      <c r="P40" s="262">
        <f>(P39-O40)</f>
        <v>477984200.30737615</v>
      </c>
      <c r="Q40" s="160"/>
      <c r="R40" s="160"/>
      <c r="S40" s="147"/>
      <c r="T40" s="221">
        <v>2021</v>
      </c>
      <c r="U40" s="163">
        <f>'7. Vægte til brug for indfriels'!I79</f>
        <v>0.25751098356533186</v>
      </c>
      <c r="V40" s="163">
        <f>'7. Vægte til brug for indfriels'!J79</f>
        <v>0.74248901643466814</v>
      </c>
      <c r="W40" s="165">
        <f>'7. Vægte til brug for indfriels'!K79</f>
        <v>0.25751098356533186</v>
      </c>
      <c r="X40" s="165">
        <f>'7. Vægte til brug for indfriels'!L79</f>
        <v>0.74248901643466814</v>
      </c>
    </row>
    <row r="41" spans="1:29" s="5" customFormat="1" ht="15" thickBot="1">
      <c r="A41" s="62"/>
      <c r="B41" s="153" t="s">
        <v>133</v>
      </c>
      <c r="C41" s="153"/>
      <c r="D41" s="153"/>
      <c r="E41" s="153"/>
      <c r="F41" s="147"/>
      <c r="G41" s="147"/>
      <c r="H41" s="204">
        <v>2022</v>
      </c>
      <c r="I41" s="263">
        <f>J40*$F$50*(($F$48*$F$49)+($E$48*$E$49))</f>
        <v>37931626.161677361</v>
      </c>
      <c r="J41" s="263">
        <f>(J40-I41)</f>
        <v>434589409.7981776</v>
      </c>
      <c r="K41" s="160"/>
      <c r="L41" s="160"/>
      <c r="M41" s="160"/>
      <c r="N41" s="204">
        <v>2022</v>
      </c>
      <c r="O41" s="273">
        <f>P40*$F$50*(($F$48*$F$49)+($E$48*$E$49))</f>
        <v>38370181.679674625</v>
      </c>
      <c r="P41" s="263">
        <f t="shared" ref="P41:P48" si="0">(P40-O41)</f>
        <v>439614018.62770152</v>
      </c>
      <c r="Q41" s="166"/>
      <c r="R41" s="166"/>
      <c r="S41" s="147"/>
      <c r="T41" s="221">
        <v>2022</v>
      </c>
      <c r="U41" s="163">
        <f>'7. Vægte til brug for indfriels'!I80</f>
        <v>0.22153017021112448</v>
      </c>
      <c r="V41" s="163">
        <f>'7. Vægte til brug for indfriels'!J80</f>
        <v>0.77846982978887558</v>
      </c>
      <c r="W41" s="165">
        <f>'7. Vægte til brug for indfriels'!K80</f>
        <v>0.22153017021112448</v>
      </c>
      <c r="X41" s="165">
        <f>'7. Vægte til brug for indfriels'!L80</f>
        <v>0.77846982978887558</v>
      </c>
    </row>
    <row r="42" spans="1:29" s="5" customFormat="1">
      <c r="A42" s="62"/>
      <c r="B42" s="147"/>
      <c r="C42" s="147"/>
      <c r="D42" s="147"/>
      <c r="E42" s="147"/>
      <c r="F42" s="147"/>
      <c r="G42" s="147"/>
      <c r="H42" s="203">
        <v>2023</v>
      </c>
      <c r="I42" s="262">
        <f t="shared" ref="I42:I48" si="1">J41*$F$50*(($F$48*U42)+($E$48*V42))</f>
        <v>23998159.349014316</v>
      </c>
      <c r="J42" s="262">
        <f>(J41-I42)</f>
        <v>410591250.44916326</v>
      </c>
      <c r="K42" s="160"/>
      <c r="L42" s="160"/>
      <c r="M42" s="160"/>
      <c r="N42" s="203">
        <v>2023</v>
      </c>
      <c r="O42" s="247">
        <f t="shared" ref="O42:O48" si="2">P41*$F$50*(($F$48*W42)+($E$48*X42))</f>
        <v>24275619.776348192</v>
      </c>
      <c r="P42" s="262">
        <f t="shared" si="0"/>
        <v>415338398.85135335</v>
      </c>
      <c r="Q42" s="167"/>
      <c r="R42" s="160"/>
      <c r="S42" s="147"/>
      <c r="T42" s="221">
        <v>2023</v>
      </c>
      <c r="U42" s="163">
        <f>'7. Vægte til brug for indfriels'!I81</f>
        <v>0.18929506199708623</v>
      </c>
      <c r="V42" s="163">
        <f>'7. Vægte til brug for indfriels'!J81</f>
        <v>0.81070493800291377</v>
      </c>
      <c r="W42" s="165">
        <f>'7. Vægte til brug for indfriels'!K81</f>
        <v>0.18929506199708623</v>
      </c>
      <c r="X42" s="165">
        <f>'7. Vægte til brug for indfriels'!L81</f>
        <v>0.81070493800291377</v>
      </c>
    </row>
    <row r="43" spans="1:29" s="5" customFormat="1">
      <c r="A43" s="62"/>
      <c r="B43" s="147" t="s">
        <v>224</v>
      </c>
      <c r="C43" s="147"/>
      <c r="D43" s="147"/>
      <c r="E43" s="147"/>
      <c r="F43" s="252">
        <f>'4. Benchmarking 2019'!$S$19</f>
        <v>558605444.31727648</v>
      </c>
      <c r="G43" s="147"/>
      <c r="H43" s="203">
        <v>2024</v>
      </c>
      <c r="I43" s="262">
        <f t="shared" si="1"/>
        <v>20726632.469619941</v>
      </c>
      <c r="J43" s="262">
        <f t="shared" ref="J43:J46" si="3">(J42-I43)</f>
        <v>389864617.97954333</v>
      </c>
      <c r="K43" s="160"/>
      <c r="L43" s="160"/>
      <c r="M43" s="160"/>
      <c r="N43" s="203">
        <v>2024</v>
      </c>
      <c r="O43" s="247">
        <f t="shared" si="2"/>
        <v>20966268.360797118</v>
      </c>
      <c r="P43" s="262">
        <f t="shared" si="0"/>
        <v>394372130.49055624</v>
      </c>
      <c r="Q43" s="160"/>
      <c r="R43" s="160"/>
      <c r="S43" s="147"/>
      <c r="T43" s="221">
        <v>2024</v>
      </c>
      <c r="U43" s="163">
        <f>'7. Vægte til brug for indfriels'!I82</f>
        <v>0.16078175194417085</v>
      </c>
      <c r="V43" s="163">
        <f>'7. Vægte til brug for indfriels'!J82</f>
        <v>0.83921824805582912</v>
      </c>
      <c r="W43" s="165">
        <f>'7. Vægte til brug for indfriels'!K82</f>
        <v>0.16078175194417085</v>
      </c>
      <c r="X43" s="165">
        <f>'7. Vægte til brug for indfriels'!L82</f>
        <v>0.83921824805582912</v>
      </c>
    </row>
    <row r="44" spans="1:29" s="5" customFormat="1">
      <c r="A44" s="62"/>
      <c r="B44" s="147" t="s">
        <v>225</v>
      </c>
      <c r="C44" s="147"/>
      <c r="D44" s="147"/>
      <c r="E44" s="147"/>
      <c r="F44" s="147">
        <f>H14-'4. Benchmarking 2019'!S25</f>
        <v>565063894.02740669</v>
      </c>
      <c r="G44" s="147"/>
      <c r="H44" s="203">
        <v>2025</v>
      </c>
      <c r="I44" s="262">
        <f t="shared" si="1"/>
        <v>18063993.240931209</v>
      </c>
      <c r="J44" s="262">
        <f t="shared" si="3"/>
        <v>371800624.73861212</v>
      </c>
      <c r="K44" s="160"/>
      <c r="L44" s="160"/>
      <c r="M44" s="160"/>
      <c r="N44" s="203">
        <v>2025</v>
      </c>
      <c r="O44" s="247">
        <f t="shared" si="2"/>
        <v>18272844.395350721</v>
      </c>
      <c r="P44" s="262">
        <f t="shared" si="0"/>
        <v>376099286.09520555</v>
      </c>
      <c r="Q44" s="160"/>
      <c r="R44" s="160"/>
      <c r="S44" s="147"/>
      <c r="T44" s="221">
        <v>2025</v>
      </c>
      <c r="U44" s="163">
        <f>'7. Vægte til brug for indfriels'!I83</f>
        <v>0.13584370207922106</v>
      </c>
      <c r="V44" s="163">
        <f>'7. Vægte til brug for indfriels'!J83</f>
        <v>0.86415629792077897</v>
      </c>
      <c r="W44" s="165">
        <f>'7. Vægte til brug for indfriels'!K83</f>
        <v>0.13584370207922106</v>
      </c>
      <c r="X44" s="165">
        <f>'7. Vægte til brug for indfriels'!L83</f>
        <v>0.86415629792077897</v>
      </c>
    </row>
    <row r="45" spans="1:29" s="5" customFormat="1">
      <c r="A45" s="62"/>
      <c r="B45" s="147" t="s">
        <v>66</v>
      </c>
      <c r="C45" s="147"/>
      <c r="D45" s="147"/>
      <c r="E45" s="147"/>
      <c r="F45" s="147"/>
      <c r="G45" s="147"/>
      <c r="H45" s="203">
        <v>2026</v>
      </c>
      <c r="I45" s="262">
        <f t="shared" si="1"/>
        <v>15892089.577754145</v>
      </c>
      <c r="J45" s="262">
        <f t="shared" si="3"/>
        <v>355908535.16085798</v>
      </c>
      <c r="K45" s="160"/>
      <c r="L45" s="160"/>
      <c r="M45" s="160"/>
      <c r="N45" s="203">
        <v>2026</v>
      </c>
      <c r="O45" s="247">
        <f>P44*$F$50*(($F$48*W45)+($E$48*X45))</f>
        <v>16075829.751379298</v>
      </c>
      <c r="P45" s="262">
        <f t="shared" si="0"/>
        <v>360023456.34382623</v>
      </c>
      <c r="Q45" s="160"/>
      <c r="R45" s="160"/>
      <c r="S45" s="147"/>
      <c r="T45" s="221">
        <v>2026</v>
      </c>
      <c r="U45" s="163">
        <f>'7. Vægte til brug for indfriels'!I84</f>
        <v>0.11424709499714183</v>
      </c>
      <c r="V45" s="163">
        <f>'7. Vægte til brug for indfriels'!J84</f>
        <v>0.88575290500285819</v>
      </c>
      <c r="W45" s="165">
        <f>'7. Vægte til brug for indfriels'!K84</f>
        <v>0.11424709499714183</v>
      </c>
      <c r="X45" s="165">
        <f>'7. Vægte til brug for indfriels'!L84</f>
        <v>0.88575290500285819</v>
      </c>
    </row>
    <row r="46" spans="1:29" s="5" customFormat="1" ht="15" thickBot="1">
      <c r="A46" s="62"/>
      <c r="B46" s="147"/>
      <c r="C46" s="147"/>
      <c r="D46" s="147"/>
      <c r="E46" s="147"/>
      <c r="F46" s="147"/>
      <c r="G46" s="147"/>
      <c r="H46" s="204">
        <v>2027</v>
      </c>
      <c r="I46" s="263">
        <f t="shared" si="1"/>
        <v>14115595.654629964</v>
      </c>
      <c r="J46" s="263">
        <f t="shared" si="3"/>
        <v>341792939.50622803</v>
      </c>
      <c r="K46" s="160"/>
      <c r="L46" s="160"/>
      <c r="M46" s="160"/>
      <c r="N46" s="204">
        <v>2027</v>
      </c>
      <c r="O46" s="273">
        <f t="shared" si="2"/>
        <v>14278796.471219542</v>
      </c>
      <c r="P46" s="263">
        <f t="shared" si="0"/>
        <v>345744659.87260669</v>
      </c>
      <c r="Q46" s="166"/>
      <c r="R46" s="166"/>
      <c r="S46" s="147"/>
      <c r="T46" s="221">
        <v>2027</v>
      </c>
      <c r="U46" s="163">
        <f>'7. Vægte til brug for indfriels'!I85</f>
        <v>9.5703695493405835E-2</v>
      </c>
      <c r="V46" s="163">
        <f>'7. Vægte til brug for indfriels'!J85</f>
        <v>0.90429630450659404</v>
      </c>
      <c r="W46" s="165">
        <f>'7. Vægte til brug for indfriels'!K85</f>
        <v>9.5703695493405835E-2</v>
      </c>
      <c r="X46" s="165">
        <f>'7. Vægte til brug for indfriels'!L85</f>
        <v>0.90429630450659404</v>
      </c>
    </row>
    <row r="47" spans="1:29" s="5" customFormat="1">
      <c r="A47" s="62"/>
      <c r="B47" s="147"/>
      <c r="C47" s="147"/>
      <c r="D47" s="147"/>
      <c r="E47" s="186" t="s">
        <v>57</v>
      </c>
      <c r="F47" s="186" t="s">
        <v>60</v>
      </c>
      <c r="G47" s="147"/>
      <c r="H47" s="203">
        <v>2028</v>
      </c>
      <c r="I47" s="262">
        <f>J46*$F$50*(($F$48*U47)+($E$48*V47))</f>
        <v>12657665.058577457</v>
      </c>
      <c r="J47" s="160">
        <f>(J46-I47)</f>
        <v>329135274.44765055</v>
      </c>
      <c r="K47" s="160"/>
      <c r="L47" s="160"/>
      <c r="M47" s="160"/>
      <c r="N47" s="203">
        <v>2028</v>
      </c>
      <c r="O47" s="247">
        <f t="shared" si="2"/>
        <v>12804009.663808452</v>
      </c>
      <c r="P47" s="262">
        <f t="shared" si="0"/>
        <v>332940650.20879823</v>
      </c>
      <c r="Q47" s="167"/>
      <c r="R47" s="160"/>
      <c r="S47" s="147"/>
      <c r="T47" s="221">
        <v>2028</v>
      </c>
      <c r="U47" s="163">
        <f>'7. Vægte til brug for indfriels'!I86</f>
        <v>7.989857377469807E-2</v>
      </c>
      <c r="V47" s="163">
        <f>'7. Vægte til brug for indfriels'!J86</f>
        <v>0.92010142622530189</v>
      </c>
      <c r="W47" s="165">
        <f>'7. Vægte til brug for indfriels'!K86</f>
        <v>7.989857377469807E-2</v>
      </c>
      <c r="X47" s="165">
        <f>'7. Vægte til brug for indfriels'!L86</f>
        <v>0.92010142622530189</v>
      </c>
    </row>
    <row r="48" spans="1:29" s="5" customFormat="1" ht="15" thickBot="1">
      <c r="A48" s="62"/>
      <c r="B48" s="147" t="s">
        <v>58</v>
      </c>
      <c r="C48" s="147"/>
      <c r="D48" s="147"/>
      <c r="E48" s="185">
        <f>1/40</f>
        <v>2.5000000000000001E-2</v>
      </c>
      <c r="F48" s="184">
        <f>0.2</f>
        <v>0.2</v>
      </c>
      <c r="G48" s="147"/>
      <c r="H48" s="168" t="s">
        <v>62</v>
      </c>
      <c r="I48" s="263">
        <f t="shared" si="1"/>
        <v>11456395.431541534</v>
      </c>
      <c r="J48" s="166">
        <f>(J47-I48)</f>
        <v>317678879.01610899</v>
      </c>
      <c r="K48" s="247"/>
      <c r="L48" s="160"/>
      <c r="M48" s="160"/>
      <c r="N48" s="302" t="s">
        <v>62</v>
      </c>
      <c r="O48" s="303">
        <f t="shared" si="2"/>
        <v>11588851.272254666</v>
      </c>
      <c r="P48" s="304">
        <f t="shared" si="0"/>
        <v>321351798.93654358</v>
      </c>
      <c r="Q48" s="305" t="s">
        <v>56</v>
      </c>
      <c r="R48" s="305"/>
      <c r="S48" s="147"/>
      <c r="T48" s="222" t="s">
        <v>62</v>
      </c>
      <c r="U48" s="163">
        <f>'7. Vægte til brug for indfriels'!I87</f>
        <v>6.6511632118206224E-2</v>
      </c>
      <c r="V48" s="163">
        <f>'7. Vægte til brug for indfriels'!J87</f>
        <v>0.93348836788179368</v>
      </c>
      <c r="W48" s="165">
        <f>'7. Vægte til brug for indfriels'!K87</f>
        <v>6.6511632118206224E-2</v>
      </c>
      <c r="X48" s="165">
        <f>'7. Vægte til brug for indfriels'!L87</f>
        <v>0.93348836788179368</v>
      </c>
    </row>
    <row r="49" spans="1:24" s="5" customFormat="1">
      <c r="A49" s="62"/>
      <c r="B49" s="147" t="s">
        <v>59</v>
      </c>
      <c r="C49" s="147"/>
      <c r="D49" s="147"/>
      <c r="E49" s="184">
        <f>0.66</f>
        <v>0.66</v>
      </c>
      <c r="F49" s="157">
        <f>0.34</f>
        <v>0.34</v>
      </c>
      <c r="G49" s="147"/>
      <c r="H49" s="169" t="s">
        <v>63</v>
      </c>
      <c r="I49" s="160">
        <f>SUM(I39:I48)</f>
        <v>240926565.3011674</v>
      </c>
      <c r="J49" s="169" t="s">
        <v>1</v>
      </c>
      <c r="K49" s="160"/>
      <c r="L49" s="160"/>
      <c r="M49" s="160"/>
      <c r="N49" s="169" t="s">
        <v>63</v>
      </c>
      <c r="O49" s="247">
        <f>SUM(O39:O48)</f>
        <v>243712095.0908632</v>
      </c>
      <c r="P49" s="170" t="s">
        <v>1</v>
      </c>
      <c r="Q49" s="247"/>
      <c r="R49" s="160"/>
      <c r="S49" s="147"/>
    </row>
    <row r="50" spans="1:24" s="5" customFormat="1">
      <c r="A50" s="62"/>
      <c r="B50" s="147" t="s">
        <v>61</v>
      </c>
      <c r="C50" s="147"/>
      <c r="D50" s="147"/>
      <c r="E50" s="184"/>
      <c r="F50" s="184">
        <v>0.95</v>
      </c>
      <c r="G50" s="147"/>
      <c r="H50" s="169"/>
      <c r="I50" s="160"/>
      <c r="J50" s="169"/>
      <c r="K50" s="160"/>
      <c r="L50" s="160"/>
      <c r="M50" s="160"/>
      <c r="N50" s="169"/>
      <c r="O50" s="160"/>
      <c r="P50" s="170"/>
      <c r="Q50" s="160"/>
      <c r="R50" s="160"/>
      <c r="S50" s="147"/>
    </row>
    <row r="51" spans="1:24" s="5" customFormat="1" ht="15" thickBot="1">
      <c r="A51" s="62"/>
      <c r="B51" s="147"/>
      <c r="C51" s="147"/>
      <c r="D51" s="147"/>
      <c r="E51" s="147"/>
      <c r="F51" s="147"/>
      <c r="G51" s="147"/>
      <c r="H51" s="160"/>
      <c r="I51" s="160"/>
      <c r="J51" s="160"/>
      <c r="K51" s="160"/>
      <c r="L51" s="160"/>
      <c r="M51" s="160"/>
      <c r="N51" s="160"/>
      <c r="O51" s="160" t="s">
        <v>81</v>
      </c>
      <c r="P51" s="160"/>
      <c r="Q51" s="160"/>
      <c r="R51" s="160"/>
      <c r="S51" s="147"/>
    </row>
    <row r="52" spans="1:24" s="5" customFormat="1" ht="15" thickBot="1">
      <c r="A52" s="62"/>
      <c r="B52" s="147"/>
      <c r="C52" s="147"/>
      <c r="D52" s="147"/>
      <c r="E52" s="147"/>
      <c r="F52" s="147"/>
      <c r="G52" s="147"/>
      <c r="H52" s="160" t="s">
        <v>165</v>
      </c>
      <c r="I52" s="160"/>
      <c r="J52" s="160"/>
      <c r="K52" s="189">
        <f>J48</f>
        <v>317678879.01610899</v>
      </c>
      <c r="L52" s="171" t="s">
        <v>1</v>
      </c>
      <c r="M52" s="187">
        <f>P48</f>
        <v>321351798.93654358</v>
      </c>
      <c r="N52" s="160"/>
      <c r="O52" s="247">
        <f>M52-K52</f>
        <v>3672919.9204345942</v>
      </c>
      <c r="P52" s="160"/>
      <c r="Q52" s="160"/>
      <c r="R52" s="160"/>
      <c r="S52" s="147"/>
    </row>
    <row r="53" spans="1:24" s="5" customFormat="1" ht="15" thickBot="1">
      <c r="A53" s="197"/>
      <c r="B53" s="198" t="s">
        <v>96</v>
      </c>
      <c r="C53" s="198"/>
      <c r="D53" s="198"/>
      <c r="E53" s="198"/>
      <c r="F53" s="198"/>
      <c r="G53" s="198"/>
      <c r="H53" s="160" t="s">
        <v>65</v>
      </c>
      <c r="I53" s="160"/>
      <c r="J53" s="160"/>
      <c r="K53" s="190">
        <f>I49</f>
        <v>240926565.3011674</v>
      </c>
      <c r="L53" s="172" t="s">
        <v>1</v>
      </c>
      <c r="M53" s="188">
        <f>O49</f>
        <v>243712095.0908632</v>
      </c>
      <c r="N53" s="160"/>
      <c r="O53" s="247">
        <f>M53-K53</f>
        <v>2785529.7896957994</v>
      </c>
      <c r="P53" s="160"/>
      <c r="Q53" s="160"/>
      <c r="R53" s="160"/>
      <c r="S53" s="147"/>
    </row>
    <row r="54" spans="1:24">
      <c r="B54" s="147"/>
      <c r="C54" s="147"/>
      <c r="D54" s="147"/>
      <c r="E54" s="147"/>
      <c r="F54" s="147"/>
      <c r="G54" s="147"/>
      <c r="H54" s="147"/>
      <c r="I54" s="147">
        <f>I69+I49</f>
        <v>361702103.01635051</v>
      </c>
      <c r="J54" s="147"/>
      <c r="K54" s="147"/>
      <c r="L54" s="147"/>
      <c r="M54" s="147"/>
      <c r="N54" s="147"/>
      <c r="O54" s="147"/>
      <c r="P54" s="147"/>
      <c r="Q54" s="147"/>
      <c r="R54" s="147"/>
      <c r="S54" s="147"/>
      <c r="T54" s="147"/>
      <c r="U54" s="147"/>
      <c r="V54" s="147"/>
      <c r="W54" s="147"/>
      <c r="X54" s="147"/>
    </row>
    <row r="55" spans="1:24">
      <c r="B55" s="147"/>
      <c r="C55" s="147"/>
      <c r="D55" s="147"/>
      <c r="E55" s="147"/>
      <c r="F55" s="147"/>
      <c r="G55" s="147"/>
      <c r="H55" s="147"/>
      <c r="I55" s="147"/>
      <c r="J55" s="147"/>
      <c r="K55" s="147"/>
      <c r="L55" s="147"/>
      <c r="M55" s="147"/>
      <c r="N55" s="147"/>
      <c r="O55" s="147"/>
      <c r="P55" s="147"/>
      <c r="Q55" s="147"/>
      <c r="R55" s="147"/>
      <c r="S55" s="147"/>
      <c r="T55" s="147"/>
      <c r="U55" s="147"/>
      <c r="V55" s="147"/>
      <c r="W55" s="147"/>
      <c r="X55" s="147"/>
    </row>
    <row r="56" spans="1:24">
      <c r="B56" s="147"/>
      <c r="C56" s="147"/>
      <c r="D56" s="147"/>
      <c r="E56" s="147"/>
      <c r="F56" s="147"/>
      <c r="G56" s="147"/>
      <c r="H56" s="183" t="s">
        <v>229</v>
      </c>
      <c r="I56" s="147"/>
      <c r="J56" s="147"/>
      <c r="K56" s="147"/>
      <c r="L56" s="147"/>
      <c r="M56" s="147"/>
      <c r="N56" s="147"/>
      <c r="O56" s="147"/>
      <c r="P56" s="147"/>
      <c r="Q56" s="147"/>
      <c r="R56" s="147"/>
      <c r="S56" s="147"/>
      <c r="T56" s="183" t="s">
        <v>160</v>
      </c>
      <c r="U56" s="147"/>
      <c r="V56" s="147"/>
      <c r="W56" s="147"/>
      <c r="X56" s="147"/>
    </row>
    <row r="57" spans="1:24">
      <c r="B57" s="153" t="s">
        <v>132</v>
      </c>
      <c r="C57" s="153"/>
      <c r="D57" s="153"/>
      <c r="E57" s="153"/>
      <c r="F57" s="147"/>
      <c r="G57" s="147"/>
      <c r="H57" s="173"/>
      <c r="I57" s="173"/>
      <c r="J57" s="174" t="s">
        <v>211</v>
      </c>
      <c r="K57" s="173"/>
      <c r="L57" s="173"/>
      <c r="M57" s="173"/>
      <c r="N57" s="173"/>
      <c r="O57" s="174" t="s">
        <v>212</v>
      </c>
      <c r="P57" s="173"/>
      <c r="Q57" s="173"/>
      <c r="R57" s="178"/>
      <c r="S57" s="146"/>
      <c r="T57" s="226"/>
      <c r="U57" s="226"/>
      <c r="V57" s="226"/>
      <c r="W57" s="226"/>
      <c r="X57" s="226"/>
    </row>
    <row r="58" spans="1:24">
      <c r="B58" s="147" t="s">
        <v>215</v>
      </c>
      <c r="C58" s="147"/>
      <c r="D58" s="147"/>
      <c r="E58" s="147"/>
      <c r="F58" s="147">
        <f>'5. Omkostningsramme for effekti'!$C$53</f>
        <v>4271344492.2259369</v>
      </c>
      <c r="G58" s="147"/>
      <c r="H58" s="173" t="s">
        <v>213</v>
      </c>
      <c r="I58" s="173" t="s">
        <v>54</v>
      </c>
      <c r="J58" s="173" t="s">
        <v>70</v>
      </c>
      <c r="K58" s="173"/>
      <c r="L58" s="173"/>
      <c r="M58" s="173"/>
      <c r="N58" s="173" t="s">
        <v>54</v>
      </c>
      <c r="O58" s="173" t="s">
        <v>70</v>
      </c>
      <c r="P58" s="173"/>
      <c r="Q58" s="173"/>
      <c r="R58" s="178"/>
      <c r="S58" s="146"/>
      <c r="T58" s="226"/>
      <c r="U58" s="229" t="s">
        <v>158</v>
      </c>
      <c r="V58" s="226"/>
      <c r="W58" s="229" t="s">
        <v>159</v>
      </c>
      <c r="X58" s="226"/>
    </row>
    <row r="59" spans="1:24">
      <c r="B59" s="147" t="s">
        <v>67</v>
      </c>
      <c r="C59" s="147"/>
      <c r="D59" s="147"/>
      <c r="E59" s="147"/>
      <c r="F59" s="212">
        <f>'5. Omkostningsramme for effekti'!$J$13</f>
        <v>1267173587.3682995</v>
      </c>
      <c r="G59" s="147"/>
      <c r="H59" s="205">
        <v>2020</v>
      </c>
      <c r="I59" s="199">
        <f>F61*$F$63</f>
        <v>12631056.125334665</v>
      </c>
      <c r="J59" s="199">
        <f>(F61-I59)</f>
        <v>1250474556.4081318</v>
      </c>
      <c r="K59" s="173"/>
      <c r="L59" s="173"/>
      <c r="M59" s="205">
        <v>2020</v>
      </c>
      <c r="N59" s="199">
        <f>F58*F63</f>
        <v>42713444.922259368</v>
      </c>
      <c r="O59" s="199">
        <f>(F58-N59)</f>
        <v>4228631047.3036776</v>
      </c>
      <c r="P59" s="173"/>
      <c r="Q59" s="173"/>
      <c r="R59" s="178"/>
      <c r="S59" s="146"/>
      <c r="T59" s="229" t="s">
        <v>233</v>
      </c>
      <c r="U59" s="231">
        <f>'2. Forbrugerbesparelser'!F20</f>
        <v>1990603956.8387468</v>
      </c>
      <c r="V59" s="231"/>
      <c r="W59" s="231">
        <f>'2. Forbrugerbesparelser'!C20</f>
        <v>2009662423.6026292</v>
      </c>
      <c r="X59" s="226"/>
    </row>
    <row r="60" spans="1:24" ht="15" thickBot="1">
      <c r="B60" s="149" t="s">
        <v>117</v>
      </c>
      <c r="C60" s="149"/>
      <c r="D60" s="149"/>
      <c r="E60" s="149"/>
      <c r="F60" s="246">
        <f>'4. Benchmarking 2019'!$AD$11</f>
        <v>4067974.8348330092</v>
      </c>
      <c r="G60" s="147"/>
      <c r="H60" s="205">
        <v>2021</v>
      </c>
      <c r="I60" s="199">
        <f t="shared" ref="I60:I68" si="4">J59*$F$63</f>
        <v>12504745.564081319</v>
      </c>
      <c r="J60" s="199">
        <f t="shared" ref="J60:J68" si="5">(J59-I60)</f>
        <v>1237969810.8440504</v>
      </c>
      <c r="K60" s="173"/>
      <c r="L60" s="173"/>
      <c r="M60" s="205">
        <v>2021</v>
      </c>
      <c r="N60" s="199">
        <f t="shared" ref="N60:N68" si="6">O59*$F$63</f>
        <v>42286310.473036774</v>
      </c>
      <c r="O60" s="199">
        <f>(O59-N60)*(1+$H$25)</f>
        <v>4228208184.1989474</v>
      </c>
      <c r="P60" s="173"/>
      <c r="Q60" s="173"/>
      <c r="R60" s="178"/>
      <c r="S60" s="146"/>
      <c r="T60" s="229" t="s">
        <v>232</v>
      </c>
      <c r="U60" s="231">
        <f>'2. Forbrugerbesparelser'!E20</f>
        <v>2322686375.3734021</v>
      </c>
      <c r="V60" s="231"/>
      <c r="W60" s="231">
        <f>'2. Forbrugerbesparelser'!D20</f>
        <v>2341744842.1372852</v>
      </c>
      <c r="X60" s="226"/>
    </row>
    <row r="61" spans="1:24" ht="15" thickBot="1">
      <c r="B61" s="147" t="s">
        <v>68</v>
      </c>
      <c r="C61" s="147"/>
      <c r="D61" s="147"/>
      <c r="E61" s="147"/>
      <c r="F61" s="212">
        <f>F59-F60</f>
        <v>1263105612.5334666</v>
      </c>
      <c r="G61" s="147"/>
      <c r="H61" s="206">
        <v>2022</v>
      </c>
      <c r="I61" s="200">
        <f t="shared" si="4"/>
        <v>12379698.108440503</v>
      </c>
      <c r="J61" s="200">
        <f t="shared" si="5"/>
        <v>1225590112.73561</v>
      </c>
      <c r="K61" s="173"/>
      <c r="L61" s="173"/>
      <c r="M61" s="206">
        <v>2022</v>
      </c>
      <c r="N61" s="200">
        <f t="shared" si="6"/>
        <v>42282081.841989473</v>
      </c>
      <c r="O61" s="200">
        <f t="shared" ref="O61:O68" si="7">(O60-N61)*(1+$H$25)</f>
        <v>4227785363.3805275</v>
      </c>
      <c r="P61" s="173"/>
      <c r="Q61" s="173"/>
      <c r="R61" s="178"/>
      <c r="S61" s="146"/>
      <c r="T61" s="226"/>
      <c r="U61" s="226"/>
      <c r="V61" s="226"/>
      <c r="W61" s="226"/>
      <c r="X61" s="226"/>
    </row>
    <row r="62" spans="1:24">
      <c r="B62" s="147"/>
      <c r="C62" s="147"/>
      <c r="D62" s="147"/>
      <c r="E62" s="147"/>
      <c r="F62" s="147"/>
      <c r="G62" s="147"/>
      <c r="H62" s="205">
        <v>2023</v>
      </c>
      <c r="I62" s="199">
        <f t="shared" si="4"/>
        <v>12255901.127356101</v>
      </c>
      <c r="J62" s="199">
        <f t="shared" si="5"/>
        <v>1213334211.608254</v>
      </c>
      <c r="K62" s="173"/>
      <c r="L62" s="173"/>
      <c r="M62" s="205">
        <v>2023</v>
      </c>
      <c r="N62" s="199">
        <f>O61*$F$63</f>
        <v>42277853.633805275</v>
      </c>
      <c r="O62" s="199">
        <f t="shared" si="7"/>
        <v>4227362584.8441896</v>
      </c>
      <c r="P62" s="173"/>
      <c r="Q62" s="173"/>
      <c r="R62" s="178"/>
      <c r="S62" s="146"/>
      <c r="T62" s="230" t="s">
        <v>154</v>
      </c>
      <c r="U62" s="228"/>
      <c r="V62" s="281">
        <f>U59</f>
        <v>1990603956.8387468</v>
      </c>
      <c r="W62" s="227" t="s">
        <v>1</v>
      </c>
      <c r="X62" s="281">
        <f>W60</f>
        <v>2341744842.1372852</v>
      </c>
    </row>
    <row r="63" spans="1:24">
      <c r="B63" s="147" t="s">
        <v>118</v>
      </c>
      <c r="C63" s="147"/>
      <c r="D63" s="147"/>
      <c r="E63" s="147"/>
      <c r="F63" s="297">
        <f>0.01</f>
        <v>0.01</v>
      </c>
      <c r="G63" s="147"/>
      <c r="H63" s="205">
        <v>2024</v>
      </c>
      <c r="I63" s="199">
        <f t="shared" si="4"/>
        <v>12133342.11608254</v>
      </c>
      <c r="J63" s="199">
        <f t="shared" si="5"/>
        <v>1201200869.4921715</v>
      </c>
      <c r="K63" s="173"/>
      <c r="L63" s="173"/>
      <c r="M63" s="205">
        <v>2024</v>
      </c>
      <c r="N63" s="199">
        <f t="shared" si="6"/>
        <v>42273625.848441899</v>
      </c>
      <c r="O63" s="199">
        <f t="shared" si="7"/>
        <v>4226939848.5857053</v>
      </c>
      <c r="P63" s="173"/>
      <c r="Q63" s="173"/>
      <c r="R63" s="178"/>
      <c r="S63" s="146"/>
      <c r="T63" s="226"/>
      <c r="U63" s="226"/>
      <c r="V63" s="226"/>
      <c r="W63" s="226"/>
      <c r="X63" s="226"/>
    </row>
    <row r="64" spans="1:24">
      <c r="B64" s="147" t="s">
        <v>262</v>
      </c>
      <c r="C64" s="147"/>
      <c r="D64" s="147"/>
      <c r="E64" s="147"/>
      <c r="F64" s="297">
        <f>0.005</f>
        <v>5.0000000000000001E-3</v>
      </c>
      <c r="G64" s="147"/>
      <c r="H64" s="205">
        <v>2025</v>
      </c>
      <c r="I64" s="199">
        <f t="shared" si="4"/>
        <v>12012008.694921715</v>
      </c>
      <c r="J64" s="199">
        <f t="shared" si="5"/>
        <v>1189188860.7972498</v>
      </c>
      <c r="K64" s="173"/>
      <c r="L64" s="173"/>
      <c r="M64" s="205">
        <v>2025</v>
      </c>
      <c r="N64" s="199">
        <f t="shared" si="6"/>
        <v>42269398.485857055</v>
      </c>
      <c r="O64" s="199">
        <f t="shared" si="7"/>
        <v>4226517154.6008468</v>
      </c>
      <c r="P64" s="173"/>
      <c r="Q64" s="173"/>
      <c r="R64" s="178"/>
      <c r="S64" s="146"/>
      <c r="T64" s="226"/>
      <c r="U64" s="226"/>
      <c r="V64" s="226"/>
      <c r="W64" s="226"/>
      <c r="X64" s="226"/>
    </row>
    <row r="65" spans="1:29">
      <c r="B65" s="147" t="s">
        <v>71</v>
      </c>
      <c r="C65" s="147"/>
      <c r="D65" s="147"/>
      <c r="E65" s="147"/>
      <c r="F65" s="147"/>
      <c r="G65" s="147"/>
      <c r="H65" s="205">
        <v>2026</v>
      </c>
      <c r="I65" s="199">
        <f t="shared" si="4"/>
        <v>11891888.607972499</v>
      </c>
      <c r="J65" s="199">
        <f t="shared" si="5"/>
        <v>1177296972.1892774</v>
      </c>
      <c r="K65" s="173"/>
      <c r="L65" s="173"/>
      <c r="M65" s="205">
        <v>2026</v>
      </c>
      <c r="N65" s="199">
        <f t="shared" si="6"/>
        <v>42265171.546008468</v>
      </c>
      <c r="O65" s="199">
        <f t="shared" si="7"/>
        <v>4226094502.8853865</v>
      </c>
      <c r="P65" s="173"/>
      <c r="Q65" s="173"/>
      <c r="R65" s="178"/>
      <c r="S65" s="146"/>
      <c r="T65" s="226"/>
      <c r="U65" s="226"/>
      <c r="V65" s="226"/>
      <c r="W65" s="226"/>
      <c r="X65" s="226"/>
    </row>
    <row r="66" spans="1:29" ht="15" thickBot="1">
      <c r="B66" s="147" t="s">
        <v>216</v>
      </c>
      <c r="C66" s="147"/>
      <c r="D66" s="147"/>
      <c r="E66" s="147"/>
      <c r="F66" s="147"/>
      <c r="G66" s="147"/>
      <c r="H66" s="206">
        <v>2027</v>
      </c>
      <c r="I66" s="200">
        <f t="shared" si="4"/>
        <v>11772969.721892774</v>
      </c>
      <c r="J66" s="200">
        <f t="shared" si="5"/>
        <v>1165524002.4673846</v>
      </c>
      <c r="K66" s="173"/>
      <c r="L66" s="173"/>
      <c r="M66" s="206">
        <v>2027</v>
      </c>
      <c r="N66" s="200">
        <f t="shared" si="6"/>
        <v>42260945.028853863</v>
      </c>
      <c r="O66" s="200">
        <f t="shared" si="7"/>
        <v>4225671893.4350982</v>
      </c>
      <c r="P66" s="173"/>
      <c r="Q66" s="173"/>
      <c r="R66" s="178"/>
      <c r="S66" s="146"/>
      <c r="T66" s="183" t="s">
        <v>261</v>
      </c>
    </row>
    <row r="67" spans="1:29">
      <c r="B67" s="147"/>
      <c r="C67" s="147"/>
      <c r="D67" s="147"/>
      <c r="E67" s="147"/>
      <c r="F67" s="147"/>
      <c r="G67" s="147"/>
      <c r="H67" s="205">
        <v>2028</v>
      </c>
      <c r="I67" s="199">
        <f t="shared" si="4"/>
        <v>11655240.024673846</v>
      </c>
      <c r="J67" s="199">
        <f t="shared" si="5"/>
        <v>1153868762.4427106</v>
      </c>
      <c r="K67" s="173"/>
      <c r="L67" s="173"/>
      <c r="M67" s="205">
        <v>2028</v>
      </c>
      <c r="N67" s="199">
        <f t="shared" si="6"/>
        <v>42256718.934350982</v>
      </c>
      <c r="O67" s="199">
        <f t="shared" si="7"/>
        <v>4225249326.2457547</v>
      </c>
      <c r="P67" s="173"/>
      <c r="Q67" s="173"/>
      <c r="R67" s="178"/>
      <c r="S67" s="146"/>
    </row>
    <row r="68" spans="1:29" ht="15" thickBot="1">
      <c r="B68" s="147"/>
      <c r="C68" s="147"/>
      <c r="D68" s="147"/>
      <c r="E68" s="147"/>
      <c r="F68" s="147"/>
      <c r="G68" s="147"/>
      <c r="H68" s="176" t="s">
        <v>62</v>
      </c>
      <c r="I68" s="200">
        <f t="shared" si="4"/>
        <v>11538687.624427106</v>
      </c>
      <c r="J68" s="201">
        <f t="shared" si="5"/>
        <v>1142330074.8182836</v>
      </c>
      <c r="K68" s="173" t="s">
        <v>56</v>
      </c>
      <c r="L68" s="173"/>
      <c r="M68" s="175">
        <v>2029</v>
      </c>
      <c r="N68" s="200">
        <f t="shared" si="6"/>
        <v>42252493.26245755</v>
      </c>
      <c r="O68" s="201">
        <f t="shared" si="7"/>
        <v>4224826801.3131304</v>
      </c>
      <c r="P68" s="173" t="s">
        <v>56</v>
      </c>
      <c r="Q68" s="173"/>
      <c r="R68" s="178"/>
      <c r="S68" s="146"/>
      <c r="T68" s="183" t="s">
        <v>166</v>
      </c>
    </row>
    <row r="69" spans="1:29">
      <c r="B69" s="147"/>
      <c r="C69" s="147"/>
      <c r="D69" s="147"/>
      <c r="E69" s="147"/>
      <c r="F69" s="147"/>
      <c r="G69" s="147"/>
      <c r="H69" s="177" t="s">
        <v>64</v>
      </c>
      <c r="I69" s="268">
        <f>SUM(I59:I68)</f>
        <v>120775537.71518308</v>
      </c>
      <c r="J69" s="202"/>
      <c r="K69" s="178"/>
      <c r="L69" s="178"/>
      <c r="M69" s="177" t="s">
        <v>63</v>
      </c>
      <c r="N69" s="268">
        <f>SUM(N59:N68)</f>
        <v>423138043.97706074</v>
      </c>
      <c r="O69" s="202"/>
      <c r="P69" s="178"/>
      <c r="Q69" s="178"/>
      <c r="R69" s="178"/>
      <c r="S69" s="146"/>
      <c r="T69" s="226"/>
      <c r="U69" s="226"/>
      <c r="V69" s="226"/>
      <c r="W69" s="226"/>
      <c r="X69" s="226"/>
    </row>
    <row r="70" spans="1:29" s="5" customFormat="1">
      <c r="A70" s="62"/>
      <c r="B70" s="147"/>
      <c r="C70" s="147"/>
      <c r="D70" s="147"/>
      <c r="E70" s="147"/>
      <c r="F70" s="147"/>
      <c r="G70" s="147"/>
      <c r="H70" s="177"/>
      <c r="I70" s="178"/>
      <c r="J70" s="178"/>
      <c r="K70" s="178"/>
      <c r="L70" s="178"/>
      <c r="M70" s="177"/>
      <c r="N70" s="178"/>
      <c r="O70" s="178"/>
      <c r="P70" s="178"/>
      <c r="Q70" s="178"/>
      <c r="R70" s="178"/>
      <c r="S70" s="147"/>
      <c r="T70" s="226"/>
      <c r="U70" s="229" t="s">
        <v>158</v>
      </c>
      <c r="V70" s="226"/>
      <c r="W70" s="229" t="s">
        <v>159</v>
      </c>
      <c r="X70" s="226"/>
      <c r="Y70" s="62"/>
      <c r="Z70" s="62"/>
      <c r="AA70" s="62"/>
      <c r="AB70" s="62"/>
      <c r="AC70" s="62"/>
    </row>
    <row r="71" spans="1:29" ht="15" thickBot="1">
      <c r="B71" s="147"/>
      <c r="C71" s="147"/>
      <c r="D71" s="147"/>
      <c r="E71" s="147"/>
      <c r="F71" s="147"/>
      <c r="G71" s="147"/>
      <c r="H71" s="179"/>
      <c r="I71" s="179"/>
      <c r="J71" s="179"/>
      <c r="K71" s="179"/>
      <c r="L71" s="179"/>
      <c r="M71" s="179"/>
      <c r="N71" s="179"/>
      <c r="O71" s="180" t="s">
        <v>81</v>
      </c>
      <c r="P71" s="179"/>
      <c r="Q71" s="179"/>
      <c r="R71" s="179"/>
      <c r="S71" s="147"/>
      <c r="T71" s="229" t="s">
        <v>233</v>
      </c>
      <c r="U71" s="231">
        <f>I88+I49</f>
        <v>302679633.90587986</v>
      </c>
      <c r="V71" s="231"/>
      <c r="W71" s="231">
        <f>O49+I88</f>
        <v>305465163.69557565</v>
      </c>
      <c r="X71" s="226"/>
    </row>
    <row r="72" spans="1:29" ht="15" thickBot="1">
      <c r="B72" s="147"/>
      <c r="C72" s="147"/>
      <c r="D72" s="147"/>
      <c r="E72" s="147"/>
      <c r="F72" s="147"/>
      <c r="G72" s="147"/>
      <c r="H72" s="180" t="s">
        <v>82</v>
      </c>
      <c r="I72" s="179"/>
      <c r="J72" s="179"/>
      <c r="K72" s="191">
        <f>J68</f>
        <v>1142330074.8182836</v>
      </c>
      <c r="L72" s="192" t="s">
        <v>1</v>
      </c>
      <c r="M72" s="193">
        <f>O68</f>
        <v>4224826801.3131304</v>
      </c>
      <c r="N72" s="179"/>
      <c r="O72" s="180">
        <f>M72-K72</f>
        <v>3082496726.4948468</v>
      </c>
      <c r="P72" s="179"/>
      <c r="Q72" s="179"/>
      <c r="R72" s="179"/>
      <c r="S72" s="147"/>
      <c r="T72" s="229" t="s">
        <v>232</v>
      </c>
      <c r="U72" s="231">
        <f>I69+I49</f>
        <v>361702103.01635051</v>
      </c>
      <c r="V72" s="231"/>
      <c r="W72" s="231">
        <f>O49+I69</f>
        <v>364487632.80604625</v>
      </c>
      <c r="X72" s="226"/>
    </row>
    <row r="73" spans="1:29" ht="15" thickBot="1">
      <c r="A73" s="264"/>
      <c r="B73" s="264"/>
      <c r="C73" s="146"/>
      <c r="D73" s="146"/>
      <c r="E73" s="146"/>
      <c r="F73" s="146"/>
      <c r="G73" s="146"/>
      <c r="H73" s="180" t="s">
        <v>65</v>
      </c>
      <c r="I73" s="179"/>
      <c r="J73" s="179"/>
      <c r="K73" s="194">
        <f>I69</f>
        <v>120775537.71518308</v>
      </c>
      <c r="L73" s="195" t="s">
        <v>1</v>
      </c>
      <c r="M73" s="196">
        <f>N69</f>
        <v>423138043.97706074</v>
      </c>
      <c r="N73" s="179"/>
      <c r="O73" s="180">
        <f>M73-K73</f>
        <v>302362506.26187766</v>
      </c>
      <c r="P73" s="179"/>
      <c r="Q73" s="179"/>
      <c r="R73" s="179"/>
      <c r="S73" s="147"/>
      <c r="T73" s="226"/>
      <c r="U73" s="226"/>
      <c r="V73" s="226"/>
      <c r="W73" s="226"/>
      <c r="X73" s="226"/>
    </row>
    <row r="74" spans="1:29">
      <c r="A74" s="264"/>
      <c r="B74" s="264"/>
      <c r="C74" s="264"/>
      <c r="D74" s="264"/>
      <c r="E74" s="264"/>
      <c r="F74" s="264"/>
      <c r="G74" s="146"/>
      <c r="H74" s="147"/>
      <c r="I74" s="147"/>
      <c r="J74" s="147"/>
      <c r="K74" s="147"/>
      <c r="L74" s="147"/>
      <c r="M74" s="147"/>
      <c r="N74" s="147"/>
      <c r="O74" s="147"/>
      <c r="P74" s="147"/>
      <c r="Q74" s="147"/>
      <c r="R74" s="147"/>
      <c r="S74" s="147"/>
      <c r="T74" s="230" t="s">
        <v>235</v>
      </c>
      <c r="U74" s="226"/>
      <c r="V74" s="281">
        <f>U71</f>
        <v>302679633.90587986</v>
      </c>
      <c r="W74" s="280" t="s">
        <v>1</v>
      </c>
      <c r="X74" s="299">
        <f>W72</f>
        <v>364487632.80604625</v>
      </c>
    </row>
    <row r="75" spans="1:29" s="4" customFormat="1">
      <c r="B75" s="264"/>
      <c r="C75" s="264"/>
      <c r="D75" s="264"/>
      <c r="E75" s="264"/>
      <c r="F75" s="264"/>
      <c r="G75" s="146"/>
      <c r="H75" s="266" t="s">
        <v>228</v>
      </c>
      <c r="I75" s="146"/>
      <c r="J75" s="146"/>
      <c r="K75" s="146"/>
      <c r="L75" s="146"/>
      <c r="M75" s="146"/>
      <c r="N75" s="146"/>
      <c r="O75" s="146"/>
      <c r="P75" s="146"/>
      <c r="Q75" s="146"/>
      <c r="R75" s="146"/>
      <c r="S75" s="146"/>
      <c r="T75" s="279"/>
      <c r="U75" s="279"/>
      <c r="V75" s="279"/>
      <c r="W75" s="279"/>
      <c r="X75" s="279"/>
      <c r="Y75" s="264"/>
      <c r="Z75" s="264"/>
      <c r="AA75" s="264"/>
      <c r="AB75" s="264"/>
      <c r="AC75" s="264"/>
    </row>
    <row r="76" spans="1:29">
      <c r="A76" s="264"/>
      <c r="B76" s="264"/>
      <c r="C76" s="264"/>
      <c r="D76" s="264"/>
      <c r="E76" s="264"/>
      <c r="F76" s="264"/>
      <c r="G76" s="264"/>
      <c r="H76" s="265"/>
      <c r="I76" s="265"/>
      <c r="J76" s="267" t="s">
        <v>211</v>
      </c>
      <c r="K76" s="265"/>
      <c r="L76" s="265"/>
      <c r="M76" s="265"/>
      <c r="N76" s="265"/>
      <c r="O76" s="174" t="s">
        <v>212</v>
      </c>
      <c r="P76" s="265"/>
      <c r="Q76" s="265"/>
      <c r="R76" s="265"/>
      <c r="T76" s="279"/>
      <c r="U76" s="279"/>
      <c r="V76" s="279"/>
      <c r="W76" s="279"/>
      <c r="X76" s="279"/>
      <c r="Y76" s="264"/>
    </row>
    <row r="77" spans="1:29">
      <c r="A77" s="264"/>
      <c r="B77" s="264"/>
      <c r="C77" s="264"/>
      <c r="D77" s="264"/>
      <c r="E77" s="264"/>
      <c r="F77" s="264"/>
      <c r="G77" s="264"/>
      <c r="H77" s="173" t="s">
        <v>214</v>
      </c>
      <c r="I77" s="173" t="s">
        <v>54</v>
      </c>
      <c r="J77" s="173" t="s">
        <v>70</v>
      </c>
      <c r="K77" s="173"/>
      <c r="L77" s="173"/>
      <c r="M77" s="173"/>
      <c r="N77" s="173" t="s">
        <v>54</v>
      </c>
      <c r="O77" s="173" t="s">
        <v>70</v>
      </c>
      <c r="P77" s="173"/>
      <c r="Q77" s="173"/>
      <c r="R77" s="178"/>
      <c r="T77" s="146" t="s">
        <v>272</v>
      </c>
      <c r="U77" s="264"/>
      <c r="V77" s="264"/>
      <c r="W77" s="264"/>
      <c r="X77" s="264"/>
      <c r="Y77" s="264"/>
    </row>
    <row r="78" spans="1:29">
      <c r="A78" s="264"/>
      <c r="B78" s="264"/>
      <c r="C78" s="264"/>
      <c r="D78" s="264"/>
      <c r="E78" s="264"/>
      <c r="F78" s="264"/>
      <c r="G78" s="264"/>
      <c r="H78" s="205">
        <v>2020</v>
      </c>
      <c r="I78" s="199">
        <f>F61*0.005</f>
        <v>6315528.0626673326</v>
      </c>
      <c r="J78" s="199">
        <f>(F61-I78)</f>
        <v>1256790084.4707992</v>
      </c>
      <c r="K78" s="173"/>
      <c r="L78" s="173"/>
      <c r="M78" s="205">
        <v>2020</v>
      </c>
      <c r="N78" s="199">
        <f>F58*0.005</f>
        <v>21356722.461129684</v>
      </c>
      <c r="O78" s="199">
        <f>(F58-N78)</f>
        <v>4249987769.7648072</v>
      </c>
      <c r="P78" s="173"/>
      <c r="Q78" s="173"/>
      <c r="R78" s="178"/>
      <c r="T78" s="264"/>
      <c r="U78" s="264"/>
      <c r="V78" s="264"/>
      <c r="W78" s="264"/>
      <c r="X78" s="264"/>
      <c r="Y78" s="264"/>
    </row>
    <row r="79" spans="1:29">
      <c r="H79" s="205">
        <v>2021</v>
      </c>
      <c r="I79" s="199">
        <f>J78*0.005</f>
        <v>6283950.422353996</v>
      </c>
      <c r="J79" s="199">
        <f t="shared" ref="J79:J87" si="8">(J78-I79)</f>
        <v>1250506134.0484452</v>
      </c>
      <c r="K79" s="173"/>
      <c r="L79" s="173"/>
      <c r="M79" s="205">
        <v>2021</v>
      </c>
      <c r="N79" s="199">
        <f t="shared" ref="N79:N87" si="9">O78*$F$63</f>
        <v>42499877.697648071</v>
      </c>
      <c r="O79" s="199">
        <f>(O78-N79)</f>
        <v>4207487892.0671592</v>
      </c>
      <c r="P79" s="173"/>
      <c r="Q79" s="173"/>
      <c r="R79" s="178"/>
    </row>
    <row r="80" spans="1:29" ht="15" thickBot="1">
      <c r="H80" s="206">
        <v>2022</v>
      </c>
      <c r="I80" s="200">
        <f t="shared" ref="I80:I87" si="10">J79*0.005</f>
        <v>6252530.6702422267</v>
      </c>
      <c r="J80" s="200">
        <f t="shared" si="8"/>
        <v>1244253603.3782029</v>
      </c>
      <c r="K80" s="173"/>
      <c r="L80" s="173"/>
      <c r="M80" s="206">
        <v>2022</v>
      </c>
      <c r="N80" s="200">
        <f t="shared" si="9"/>
        <v>42074878.92067159</v>
      </c>
      <c r="O80" s="200">
        <f t="shared" ref="O80:O87" si="11">(O79-N80)</f>
        <v>4165413013.1464877</v>
      </c>
      <c r="P80" s="173"/>
      <c r="Q80" s="173"/>
      <c r="R80" s="178"/>
    </row>
    <row r="81" spans="1:18">
      <c r="H81" s="205">
        <v>2023</v>
      </c>
      <c r="I81" s="199">
        <f t="shared" si="10"/>
        <v>6221268.0168910148</v>
      </c>
      <c r="J81" s="199">
        <f t="shared" si="8"/>
        <v>1238032335.3613119</v>
      </c>
      <c r="K81" s="173"/>
      <c r="L81" s="173"/>
      <c r="M81" s="205">
        <v>2023</v>
      </c>
      <c r="N81" s="199">
        <f t="shared" si="9"/>
        <v>41654130.131464876</v>
      </c>
      <c r="O81" s="199">
        <f t="shared" si="11"/>
        <v>4123758883.0150228</v>
      </c>
      <c r="P81" s="173"/>
      <c r="Q81" s="173"/>
      <c r="R81" s="178"/>
    </row>
    <row r="82" spans="1:18">
      <c r="H82" s="205">
        <v>2024</v>
      </c>
      <c r="I82" s="199">
        <f t="shared" si="10"/>
        <v>6190161.6768065598</v>
      </c>
      <c r="J82" s="199">
        <f t="shared" si="8"/>
        <v>1231842173.6845055</v>
      </c>
      <c r="K82" s="173"/>
      <c r="L82" s="173"/>
      <c r="M82" s="205">
        <v>2024</v>
      </c>
      <c r="N82" s="199">
        <f t="shared" si="9"/>
        <v>41237588.830150232</v>
      </c>
      <c r="O82" s="199">
        <f t="shared" si="11"/>
        <v>4082521294.1848726</v>
      </c>
      <c r="P82" s="173"/>
      <c r="Q82" s="173"/>
      <c r="R82" s="178"/>
    </row>
    <row r="83" spans="1:18">
      <c r="H83" s="205">
        <v>2025</v>
      </c>
      <c r="I83" s="199">
        <f t="shared" si="10"/>
        <v>6159210.8684225278</v>
      </c>
      <c r="J83" s="199">
        <f t="shared" si="8"/>
        <v>1225682962.816083</v>
      </c>
      <c r="K83" s="173"/>
      <c r="L83" s="173"/>
      <c r="M83" s="205">
        <v>2025</v>
      </c>
      <c r="N83" s="199">
        <f t="shared" si="9"/>
        <v>40825212.941848725</v>
      </c>
      <c r="O83" s="199">
        <f t="shared" si="11"/>
        <v>4041696081.2430239</v>
      </c>
      <c r="P83" s="173"/>
      <c r="Q83" s="173"/>
      <c r="R83" s="178"/>
    </row>
    <row r="84" spans="1:18">
      <c r="H84" s="205">
        <v>2026</v>
      </c>
      <c r="I84" s="199">
        <f t="shared" si="10"/>
        <v>6128414.8140804153</v>
      </c>
      <c r="J84" s="199">
        <f t="shared" si="8"/>
        <v>1219554548.0020025</v>
      </c>
      <c r="K84" s="173"/>
      <c r="L84" s="173"/>
      <c r="M84" s="205">
        <v>2026</v>
      </c>
      <c r="N84" s="199">
        <f t="shared" si="9"/>
        <v>40416960.81243024</v>
      </c>
      <c r="O84" s="199">
        <f t="shared" si="11"/>
        <v>4001279120.4305935</v>
      </c>
      <c r="P84" s="173"/>
      <c r="Q84" s="173"/>
      <c r="R84" s="178"/>
    </row>
    <row r="85" spans="1:18" ht="15" thickBot="1">
      <c r="H85" s="206">
        <v>2027</v>
      </c>
      <c r="I85" s="200">
        <f t="shared" si="10"/>
        <v>6097772.7400100129</v>
      </c>
      <c r="J85" s="200">
        <f t="shared" si="8"/>
        <v>1213456775.2619925</v>
      </c>
      <c r="K85" s="173"/>
      <c r="L85" s="173"/>
      <c r="M85" s="206">
        <v>2027</v>
      </c>
      <c r="N85" s="200">
        <f t="shared" si="9"/>
        <v>40012791.204305939</v>
      </c>
      <c r="O85" s="200">
        <f t="shared" si="11"/>
        <v>3961266329.2262874</v>
      </c>
      <c r="P85" s="173"/>
      <c r="Q85" s="173"/>
      <c r="R85" s="178"/>
    </row>
    <row r="86" spans="1:18">
      <c r="H86" s="205">
        <v>2028</v>
      </c>
      <c r="I86" s="199">
        <f t="shared" si="10"/>
        <v>6067283.876309962</v>
      </c>
      <c r="J86" s="199">
        <f t="shared" si="8"/>
        <v>1207389491.3856826</v>
      </c>
      <c r="K86" s="173"/>
      <c r="L86" s="173"/>
      <c r="M86" s="205">
        <v>2028</v>
      </c>
      <c r="N86" s="199">
        <f t="shared" si="9"/>
        <v>39612663.292262875</v>
      </c>
      <c r="O86" s="199">
        <f t="shared" si="11"/>
        <v>3921653665.9340243</v>
      </c>
      <c r="P86" s="173"/>
      <c r="Q86" s="173"/>
      <c r="R86" s="178"/>
    </row>
    <row r="87" spans="1:18" ht="15" thickBot="1">
      <c r="H87" s="176" t="s">
        <v>62</v>
      </c>
      <c r="I87" s="200">
        <f t="shared" si="10"/>
        <v>6036947.4569284134</v>
      </c>
      <c r="J87" s="201">
        <f t="shared" si="8"/>
        <v>1201352543.9287541</v>
      </c>
      <c r="K87" s="173" t="s">
        <v>56</v>
      </c>
      <c r="L87" s="173"/>
      <c r="M87" s="175">
        <v>2029</v>
      </c>
      <c r="N87" s="200">
        <f t="shared" si="9"/>
        <v>39216536.659340248</v>
      </c>
      <c r="O87" s="200">
        <f t="shared" si="11"/>
        <v>3882437129.274684</v>
      </c>
      <c r="P87" s="173" t="s">
        <v>56</v>
      </c>
      <c r="Q87" s="173"/>
      <c r="R87" s="178"/>
    </row>
    <row r="88" spans="1:18">
      <c r="H88" s="177" t="s">
        <v>64</v>
      </c>
      <c r="I88" s="268">
        <f>SUM(I78:I87)</f>
        <v>61753068.604712471</v>
      </c>
      <c r="J88" s="202"/>
      <c r="K88" s="178"/>
      <c r="L88" s="178"/>
      <c r="M88" s="177" t="s">
        <v>63</v>
      </c>
      <c r="N88" s="268">
        <f>SUM(N78:N87)</f>
        <v>388907362.95125246</v>
      </c>
      <c r="O88" s="202"/>
      <c r="P88" s="178"/>
      <c r="Q88" s="178"/>
      <c r="R88" s="178"/>
    </row>
    <row r="89" spans="1:18"/>
    <row r="90" spans="1:18"/>
    <row r="91" spans="1:18" ht="15" thickBot="1">
      <c r="A91" s="63" t="s">
        <v>134</v>
      </c>
    </row>
  </sheetData>
  <sheetProtection algorithmName="SHA-512" hashValue="YVDIpidShRiLdRRkMtT5g/viURvJOsPrFWf2mthP45WvqBXXptE0Ix/jogWlCvi8fhhN9/m+xG3f20fJdSPD1A==" saltValue="tiykAEhlvhK/CU/fXZez+w=="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7"/>
  <sheetViews>
    <sheetView showGridLines="0" zoomScale="80" zoomScaleNormal="80" workbookViewId="0">
      <selection activeCell="E12" sqref="E12"/>
    </sheetView>
  </sheetViews>
  <sheetFormatPr defaultColWidth="0" defaultRowHeight="14.4" zeroHeight="1"/>
  <cols>
    <col min="1" max="1" width="8.88671875" customWidth="1"/>
    <col min="2" max="2" width="20.88671875" customWidth="1"/>
    <col min="3" max="3" width="19.88671875" customWidth="1"/>
    <col min="4" max="4" width="20.44140625" customWidth="1"/>
    <col min="5" max="5" width="20" customWidth="1"/>
    <col min="6" max="6" width="18.5546875" customWidth="1"/>
    <col min="7" max="7" width="8.88671875" customWidth="1"/>
    <col min="8" max="8" width="20.33203125" customWidth="1"/>
    <col min="9" max="9" width="19.88671875" bestFit="1" customWidth="1"/>
    <col min="10" max="10" width="26.33203125" customWidth="1"/>
    <col min="11" max="11" width="20.21875" bestFit="1" customWidth="1"/>
    <col min="12" max="12" width="20.33203125" hidden="1" customWidth="1"/>
    <col min="13" max="13" width="22.33203125" hidden="1" customWidth="1"/>
    <col min="14" max="14" width="19.21875" hidden="1" customWidth="1"/>
    <col min="15" max="15" width="19.77734375" hidden="1" customWidth="1"/>
    <col min="16" max="16" width="21.5546875" hidden="1" customWidth="1"/>
    <col min="17" max="17" width="19.88671875" hidden="1" customWidth="1"/>
    <col min="18" max="18" width="8.88671875" hidden="1" customWidth="1"/>
    <col min="19" max="19" width="18.21875" hidden="1" customWidth="1"/>
    <col min="20" max="23" width="0" hidden="1" customWidth="1"/>
    <col min="24" max="16384" width="8.88671875" hidden="1"/>
  </cols>
  <sheetData>
    <row r="1" spans="2:20" ht="19.2">
      <c r="B1" s="232" t="s">
        <v>263</v>
      </c>
    </row>
    <row r="2" spans="2:20">
      <c r="B2" s="74" t="s">
        <v>264</v>
      </c>
    </row>
    <row r="3" spans="2:20" s="6" customFormat="1" ht="15" thickBot="1"/>
    <row r="4" spans="2:20"/>
    <row r="5" spans="2:20">
      <c r="B5" s="144"/>
      <c r="C5" s="86"/>
      <c r="D5" s="4"/>
      <c r="E5" s="4"/>
      <c r="F5" s="4"/>
      <c r="H5" s="144"/>
      <c r="I5" s="4"/>
      <c r="J5" s="4"/>
      <c r="K5" s="4"/>
      <c r="L5" s="4"/>
      <c r="M5" s="4"/>
      <c r="N5" s="4"/>
      <c r="O5" s="4"/>
      <c r="R5" s="74"/>
    </row>
    <row r="6" spans="2:20" ht="15" thickBot="1">
      <c r="B6" s="75" t="s">
        <v>265</v>
      </c>
      <c r="C6" s="225"/>
      <c r="D6" s="225"/>
      <c r="E6" s="225"/>
      <c r="F6" s="225"/>
      <c r="G6" s="272"/>
      <c r="H6" s="225"/>
      <c r="I6" s="225"/>
      <c r="J6" s="225"/>
      <c r="R6" s="74"/>
    </row>
    <row r="7" spans="2:20">
      <c r="B7" s="7"/>
      <c r="C7" s="234"/>
      <c r="D7" s="234"/>
      <c r="E7" s="234"/>
      <c r="F7" s="234"/>
      <c r="G7" s="234"/>
      <c r="H7" s="234"/>
      <c r="I7" s="234"/>
      <c r="J7" s="235"/>
      <c r="Q7" s="88"/>
      <c r="S7" s="88"/>
      <c r="T7" s="88"/>
    </row>
    <row r="8" spans="2:20">
      <c r="B8" s="241" t="s">
        <v>220</v>
      </c>
      <c r="C8" s="242"/>
      <c r="D8" s="242"/>
      <c r="E8" s="242"/>
      <c r="F8" s="242"/>
      <c r="G8" s="242"/>
      <c r="H8" s="242"/>
      <c r="I8" s="242"/>
      <c r="J8" s="243"/>
    </row>
    <row r="9" spans="2:20">
      <c r="B9" s="126"/>
      <c r="C9" s="282" t="s">
        <v>231</v>
      </c>
      <c r="D9" s="275" t="s">
        <v>221</v>
      </c>
      <c r="E9" s="275" t="s">
        <v>236</v>
      </c>
      <c r="F9" s="282" t="s">
        <v>234</v>
      </c>
      <c r="G9" s="236"/>
      <c r="H9" s="236"/>
      <c r="I9" s="236"/>
      <c r="J9" s="237"/>
    </row>
    <row r="10" spans="2:20">
      <c r="B10" s="126">
        <v>2020</v>
      </c>
      <c r="C10" s="79">
        <f>'1. Hovedresultater'!O39+'1. Hovedresultater'!I78</f>
        <v>51676032.155717403</v>
      </c>
      <c r="D10" s="79">
        <f>'1. Hovedresultater'!O39+'1. Hovedresultater'!I59</f>
        <v>57991560.218384735</v>
      </c>
      <c r="E10" s="79">
        <f>'1. Hovedresultater'!I39+'1. Hovedresultater'!I59</f>
        <v>57473108.167904034</v>
      </c>
      <c r="F10" s="79">
        <f>'1. Hovedresultater'!I78+'1. Hovedresultater'!I39</f>
        <v>51157580.105236702</v>
      </c>
      <c r="G10" s="236"/>
      <c r="H10" s="236"/>
      <c r="I10" s="236"/>
      <c r="J10" s="237"/>
    </row>
    <row r="11" spans="2:20">
      <c r="B11" s="126">
        <v>2021</v>
      </c>
      <c r="C11" s="79">
        <f>'1. Hovedresultater'!O40+'1. Hovedresultater'!I79+C10</f>
        <v>99679172.205051869</v>
      </c>
      <c r="D11" s="79">
        <f>D10+'1. Hovedresultater'!I60+'1. Hovedresultater'!O40</f>
        <v>112215495.40944654</v>
      </c>
      <c r="E11" s="79">
        <f>'1. Hovedresultater'!I40+'1. Hovedresultater'!I60+E10</f>
        <v>111220210.04683746</v>
      </c>
      <c r="F11" s="79">
        <f>F10+'1. Hovedresultater'!I40+'1. Hovedresultater'!I79</f>
        <v>98683886.842442811</v>
      </c>
      <c r="G11" s="236"/>
      <c r="H11" s="236"/>
      <c r="I11" s="236"/>
      <c r="J11" s="237"/>
    </row>
    <row r="12" spans="2:20">
      <c r="B12" s="126">
        <v>2022</v>
      </c>
      <c r="C12" s="79">
        <f>'1. Hovedresultater'!O41+'1. Hovedresultater'!I80+C11</f>
        <v>144301884.55496871</v>
      </c>
      <c r="D12" s="79">
        <f>D11+'1. Hovedresultater'!I61+'1. Hovedresultater'!O41</f>
        <v>162965375.19756168</v>
      </c>
      <c r="E12" s="79">
        <f>'1. Hovedresultater'!I41+'1. Hovedresultater'!I61+E11</f>
        <v>161531534.31695533</v>
      </c>
      <c r="F12" s="79">
        <f>F11+'1. Hovedresultater'!I41+'1. Hovedresultater'!I80</f>
        <v>142868043.67436239</v>
      </c>
      <c r="G12" s="79"/>
      <c r="H12" s="79"/>
      <c r="I12" s="79"/>
      <c r="J12" s="233"/>
    </row>
    <row r="13" spans="2:20">
      <c r="B13" s="126">
        <v>2023</v>
      </c>
      <c r="C13" s="79">
        <f>'1. Hovedresultater'!O42+'1. Hovedresultater'!I81+C12</f>
        <v>174798772.34820792</v>
      </c>
      <c r="D13" s="79">
        <f>D12+'1. Hovedresultater'!I62+'1. Hovedresultater'!O42</f>
        <v>199496896.101266</v>
      </c>
      <c r="E13" s="79">
        <f>'1. Hovedresultater'!I42+'1. Hovedresultater'!I62+E12</f>
        <v>197785594.79332575</v>
      </c>
      <c r="F13" s="79">
        <f>F12+'1. Hovedresultater'!I42+'1. Hovedresultater'!I81</f>
        <v>173087471.04026771</v>
      </c>
      <c r="G13" s="86"/>
      <c r="H13" s="86"/>
      <c r="I13" s="134"/>
      <c r="J13" s="80"/>
    </row>
    <row r="14" spans="2:20">
      <c r="B14" s="126">
        <v>2024</v>
      </c>
      <c r="C14" s="79">
        <f>'1. Hovedresultater'!O43+'1. Hovedresultater'!I82+C13</f>
        <v>201955202.3858116</v>
      </c>
      <c r="D14" s="79">
        <f>D13+'1. Hovedresultater'!I63+'1. Hovedresultater'!O43</f>
        <v>232596506.57814565</v>
      </c>
      <c r="E14" s="79">
        <f>'1. Hovedresultater'!I43+'1. Hovedresultater'!I63+E13</f>
        <v>230645569.37902823</v>
      </c>
      <c r="F14" s="79">
        <f>F13+'1. Hovedresultater'!I43+'1. Hovedresultater'!I82</f>
        <v>200004265.1866942</v>
      </c>
      <c r="G14" s="86"/>
      <c r="H14" s="86"/>
      <c r="I14" s="86"/>
      <c r="J14" s="80"/>
    </row>
    <row r="15" spans="2:20">
      <c r="B15" s="126">
        <v>2025</v>
      </c>
      <c r="C15" s="79">
        <f>'1. Hovedresultater'!O44+'1. Hovedresultater'!I83+C14</f>
        <v>226387257.64958483</v>
      </c>
      <c r="D15" s="79">
        <f>D14+'1. Hovedresultater'!I64+'1. Hovedresultater'!O44</f>
        <v>262881359.66841808</v>
      </c>
      <c r="E15" s="79">
        <f>'1. Hovedresultater'!I44+'1. Hovedresultater'!I64+E14</f>
        <v>260721571.31488115</v>
      </c>
      <c r="F15" s="79">
        <f>F14+'1. Hovedresultater'!I44+'1. Hovedresultater'!I83</f>
        <v>224227469.29604796</v>
      </c>
      <c r="G15" s="86"/>
      <c r="H15" s="86"/>
      <c r="I15" s="86"/>
      <c r="J15" s="80"/>
    </row>
    <row r="16" spans="2:20">
      <c r="B16" s="126">
        <v>2026</v>
      </c>
      <c r="C16" s="79">
        <f>'1. Hovedresultater'!O45+'1. Hovedresultater'!I84+C15</f>
        <v>248591502.21504456</v>
      </c>
      <c r="D16" s="79">
        <f>D15+'1. Hovedresultater'!I65+'1. Hovedresultater'!O45</f>
        <v>290849078.02776986</v>
      </c>
      <c r="E16" s="79">
        <f>'1. Hovedresultater'!I45+'1. Hovedresultater'!I65+E15</f>
        <v>288505549.50060779</v>
      </c>
      <c r="F16" s="79">
        <f>F15+'1. Hovedresultater'!I45+'1. Hovedresultater'!I84</f>
        <v>246247973.68788251</v>
      </c>
      <c r="G16" s="86"/>
      <c r="H16" s="86"/>
      <c r="I16" s="86"/>
      <c r="J16" s="80"/>
    </row>
    <row r="17" spans="2:18">
      <c r="B17" s="126">
        <v>2027</v>
      </c>
      <c r="C17" s="79">
        <f>'1. Hovedresultater'!O46+'1. Hovedresultater'!I85+C16</f>
        <v>268968071.42627412</v>
      </c>
      <c r="D17" s="79">
        <f>D16+'1. Hovedresultater'!I66+'1. Hovedresultater'!O46</f>
        <v>316900844.22088218</v>
      </c>
      <c r="E17" s="79">
        <f>'1. Hovedresultater'!I46+'1. Hovedresultater'!I66+E16</f>
        <v>314394114.87713051</v>
      </c>
      <c r="F17" s="79">
        <f>F16+'1. Hovedresultater'!I46+'1. Hovedresultater'!I85</f>
        <v>266461342.08252251</v>
      </c>
      <c r="G17" s="86"/>
      <c r="H17" s="86"/>
      <c r="I17" s="86"/>
      <c r="J17" s="80"/>
    </row>
    <row r="18" spans="2:18">
      <c r="B18" s="126">
        <v>2028</v>
      </c>
      <c r="C18" s="79">
        <f>'1. Hovedresultater'!O47+'1. Hovedresultater'!I86+C17</f>
        <v>287839364.96639252</v>
      </c>
      <c r="D18" s="79">
        <f>D17+'1. Hovedresultater'!I67+'1. Hovedresultater'!O47</f>
        <v>341360093.90936446</v>
      </c>
      <c r="E18" s="79">
        <f>'1. Hovedresultater'!I47+'1. Hovedresultater'!I67+E17</f>
        <v>338707019.96038181</v>
      </c>
      <c r="F18" s="79">
        <f>F17+'1. Hovedresultater'!I47+'1. Hovedresultater'!I86</f>
        <v>285186291.01740998</v>
      </c>
      <c r="G18" s="4"/>
      <c r="H18" s="4"/>
      <c r="I18" s="86"/>
      <c r="J18" s="80"/>
    </row>
    <row r="19" spans="2:18">
      <c r="B19" s="238" t="s">
        <v>62</v>
      </c>
      <c r="C19" s="79">
        <f>'1. Hovedresultater'!O48+'1. Hovedresultater'!I87+C18</f>
        <v>305465163.69557559</v>
      </c>
      <c r="D19" s="79">
        <f>D18+'1. Hovedresultater'!I68+'1. Hovedresultater'!O48</f>
        <v>364487632.80604619</v>
      </c>
      <c r="E19" s="79">
        <f>'1. Hovedresultater'!I48+'1. Hovedresultater'!I68+E18</f>
        <v>361702103.01635045</v>
      </c>
      <c r="F19" s="79">
        <f>F18+'1. Hovedresultater'!I48+'1. Hovedresultater'!I87</f>
        <v>302679633.90587997</v>
      </c>
      <c r="G19" s="4"/>
      <c r="H19" s="236"/>
      <c r="I19" s="79"/>
      <c r="J19" s="233"/>
      <c r="Q19" s="74"/>
      <c r="R19" s="74"/>
    </row>
    <row r="20" spans="2:18">
      <c r="B20" s="239" t="s">
        <v>161</v>
      </c>
      <c r="C20" s="137">
        <f>SUM(C10:C19)</f>
        <v>2009662423.6026292</v>
      </c>
      <c r="D20" s="137">
        <f>SUM(D10:D19)</f>
        <v>2341744842.1372852</v>
      </c>
      <c r="E20" s="137">
        <f>SUM(E10:E19)</f>
        <v>2322686375.3734021</v>
      </c>
      <c r="F20" s="137">
        <f>SUM(F10:F19)</f>
        <v>1990603956.8387468</v>
      </c>
      <c r="G20" s="245"/>
      <c r="H20" s="236"/>
      <c r="I20" s="79"/>
      <c r="J20" s="233"/>
    </row>
    <row r="21" spans="2:18">
      <c r="B21" s="239"/>
      <c r="C21" s="137"/>
      <c r="D21" s="137"/>
      <c r="E21" s="137"/>
      <c r="F21" s="137"/>
      <c r="G21" s="4"/>
      <c r="H21" s="236"/>
      <c r="I21" s="79"/>
      <c r="J21" s="233"/>
    </row>
    <row r="22" spans="2:18">
      <c r="B22" s="240"/>
      <c r="C22" s="79"/>
      <c r="D22" s="79"/>
      <c r="E22" s="86"/>
      <c r="F22" s="86"/>
      <c r="G22" s="4"/>
      <c r="H22" s="236"/>
      <c r="I22" s="79"/>
      <c r="J22" s="233"/>
    </row>
    <row r="23" spans="2:18">
      <c r="B23" s="11"/>
      <c r="C23" s="4"/>
      <c r="D23" s="4"/>
      <c r="E23" s="4"/>
      <c r="F23" s="4"/>
      <c r="G23" s="4"/>
      <c r="H23" s="4"/>
      <c r="I23" s="4"/>
      <c r="J23" s="10"/>
    </row>
    <row r="24" spans="2:18" ht="15" thickBot="1">
      <c r="B24" s="12" t="s">
        <v>237</v>
      </c>
      <c r="C24" s="6"/>
      <c r="D24" s="6"/>
      <c r="E24" s="6"/>
      <c r="F24" s="6"/>
      <c r="G24" s="6"/>
      <c r="H24" s="6"/>
      <c r="I24" s="6"/>
      <c r="J24" s="13"/>
    </row>
    <row r="25" spans="2:18">
      <c r="B25" s="5"/>
      <c r="C25" s="5"/>
      <c r="D25" s="5"/>
      <c r="E25" s="5"/>
      <c r="F25" s="5"/>
      <c r="G25" s="74"/>
      <c r="H25" s="5"/>
      <c r="I25" s="5"/>
      <c r="J25" s="5"/>
      <c r="K25" s="5"/>
      <c r="L25" s="5"/>
      <c r="M25" s="5"/>
      <c r="N25" s="5"/>
      <c r="O25" s="5"/>
      <c r="P25" s="5"/>
    </row>
    <row r="26" spans="2:18">
      <c r="B26" s="5"/>
      <c r="C26" s="5"/>
      <c r="D26" s="5"/>
      <c r="E26" s="5"/>
      <c r="F26" s="5"/>
      <c r="G26" s="74"/>
    </row>
    <row r="27" spans="2:18">
      <c r="B27" s="5"/>
      <c r="C27" s="5"/>
      <c r="D27" s="5"/>
      <c r="E27" s="5"/>
      <c r="F27" s="5"/>
      <c r="G27" s="74"/>
    </row>
    <row r="28" spans="2:18" hidden="1">
      <c r="B28" s="5"/>
      <c r="C28" s="5"/>
      <c r="D28" s="5"/>
      <c r="E28" s="5"/>
      <c r="F28" s="5"/>
      <c r="G28" s="74"/>
    </row>
    <row r="29" spans="2:18" hidden="1">
      <c r="B29" s="5"/>
      <c r="C29" s="5"/>
      <c r="D29" s="5"/>
      <c r="E29" s="5"/>
      <c r="F29" s="5"/>
      <c r="G29" s="74"/>
    </row>
    <row r="30" spans="2:18" hidden="1">
      <c r="B30" s="5"/>
      <c r="C30" s="5"/>
      <c r="D30" s="5"/>
      <c r="E30" s="5"/>
      <c r="F30" s="5"/>
      <c r="G30" s="74"/>
    </row>
    <row r="31" spans="2:18" hidden="1">
      <c r="B31" s="5"/>
      <c r="C31" s="5"/>
      <c r="D31" s="5"/>
      <c r="E31" s="5"/>
      <c r="F31" s="5"/>
      <c r="G31" s="74"/>
    </row>
    <row r="32" spans="2:18" hidden="1">
      <c r="B32" s="5"/>
      <c r="C32" s="5"/>
      <c r="D32" s="5"/>
      <c r="E32" s="5"/>
      <c r="F32" s="5"/>
      <c r="G32" s="74"/>
      <c r="Q32" s="74"/>
      <c r="R32" s="74"/>
    </row>
    <row r="33" spans="2:18" hidden="1">
      <c r="B33" s="5"/>
      <c r="C33" s="5"/>
      <c r="D33" s="5"/>
      <c r="E33" s="5"/>
      <c r="F33" s="5"/>
      <c r="G33" s="74"/>
      <c r="Q33" s="74"/>
      <c r="R33" s="74"/>
    </row>
    <row r="34" spans="2:18" hidden="1">
      <c r="G34" s="74"/>
      <c r="Q34" s="74"/>
      <c r="R34" s="74"/>
    </row>
    <row r="35" spans="2:18" hidden="1">
      <c r="G35" s="74"/>
      <c r="Q35" s="74"/>
      <c r="R35" s="74"/>
    </row>
    <row r="36" spans="2:18" hidden="1">
      <c r="G36" s="74"/>
      <c r="Q36" s="74"/>
      <c r="R36" s="74"/>
    </row>
    <row r="37" spans="2:18" hidden="1">
      <c r="G37" s="74"/>
      <c r="Q37" s="74"/>
      <c r="R37" s="74"/>
    </row>
    <row r="38" spans="2:18" hidden="1">
      <c r="G38" s="74"/>
      <c r="Q38" s="74"/>
      <c r="R38" s="74"/>
    </row>
    <row r="39" spans="2:18" hidden="1">
      <c r="G39" s="74"/>
      <c r="Q39" s="224"/>
      <c r="R39" s="74"/>
    </row>
    <row r="40" spans="2:18" hidden="1">
      <c r="G40" s="74"/>
      <c r="Q40" s="224"/>
      <c r="R40" s="74"/>
    </row>
    <row r="41" spans="2:18" s="5" customFormat="1" hidden="1">
      <c r="G41" s="74"/>
      <c r="Q41" s="224"/>
      <c r="R41" s="74"/>
    </row>
    <row r="42" spans="2:18" hidden="1">
      <c r="G42" s="74"/>
      <c r="Q42" s="224"/>
      <c r="R42" s="74"/>
    </row>
    <row r="43" spans="2:18" hidden="1">
      <c r="B43" s="74"/>
      <c r="C43" s="74"/>
      <c r="D43" s="74"/>
      <c r="G43" s="74"/>
      <c r="Q43" s="224"/>
      <c r="R43" s="74"/>
    </row>
    <row r="44" spans="2:18" hidden="1">
      <c r="B44" s="74"/>
      <c r="C44" s="74"/>
      <c r="D44" s="74"/>
      <c r="G44" s="74"/>
      <c r="Q44" s="224"/>
      <c r="R44" s="74"/>
    </row>
    <row r="45" spans="2:18" hidden="1">
      <c r="B45" s="74"/>
      <c r="C45" s="74"/>
      <c r="D45" s="74"/>
      <c r="G45" s="74"/>
      <c r="Q45" s="224"/>
      <c r="R45" s="74"/>
    </row>
    <row r="46" spans="2:18" hidden="1">
      <c r="B46" s="74"/>
      <c r="C46" s="74"/>
      <c r="D46" s="74"/>
      <c r="G46" s="74"/>
      <c r="H46" s="5"/>
      <c r="I46" s="5"/>
      <c r="J46" s="5"/>
      <c r="K46" s="5"/>
      <c r="L46" s="5"/>
      <c r="M46" s="5"/>
      <c r="N46" s="5"/>
      <c r="O46" s="5"/>
      <c r="P46" s="5"/>
      <c r="Q46" s="224"/>
      <c r="R46" s="74"/>
    </row>
    <row r="47" spans="2:18" hidden="1">
      <c r="G47" s="74"/>
      <c r="H47" s="5"/>
      <c r="I47" s="5"/>
      <c r="J47" s="5"/>
      <c r="K47" s="5"/>
      <c r="L47" s="5"/>
      <c r="M47" s="5"/>
      <c r="N47" s="5"/>
      <c r="O47" s="5"/>
      <c r="P47" s="5"/>
      <c r="Q47" s="224"/>
      <c r="R47" s="74"/>
    </row>
    <row r="48" spans="2:18" hidden="1">
      <c r="G48" s="86"/>
      <c r="H48" s="4"/>
      <c r="I48" s="4"/>
      <c r="J48" s="4"/>
      <c r="K48" s="4"/>
      <c r="L48" s="4"/>
      <c r="M48" s="4"/>
      <c r="N48" s="4"/>
      <c r="O48" s="4"/>
      <c r="P48" s="4"/>
      <c r="Q48" s="79"/>
      <c r="R48" s="74"/>
    </row>
    <row r="49" spans="7:23" hidden="1">
      <c r="G49" s="4"/>
      <c r="H49" s="4"/>
      <c r="I49" s="4"/>
      <c r="J49" s="4"/>
      <c r="K49" s="4"/>
      <c r="L49" s="4"/>
      <c r="M49" s="4"/>
      <c r="N49" s="4"/>
      <c r="O49" s="4"/>
      <c r="P49" s="4"/>
      <c r="Q49" s="79"/>
    </row>
    <row r="50" spans="7:23" hidden="1">
      <c r="G50" s="270"/>
      <c r="H50" s="4"/>
      <c r="I50" s="4"/>
      <c r="J50" s="4"/>
      <c r="K50" s="4"/>
      <c r="L50" s="4"/>
      <c r="M50" s="4"/>
      <c r="N50" s="4"/>
      <c r="O50" s="4"/>
      <c r="P50" s="4"/>
      <c r="Q50" s="271"/>
    </row>
    <row r="51" spans="7:23" hidden="1">
      <c r="G51" s="4"/>
      <c r="H51" s="4"/>
      <c r="I51" s="4"/>
      <c r="J51" s="4"/>
      <c r="K51" s="4"/>
      <c r="L51" s="4"/>
      <c r="M51" s="4"/>
      <c r="N51" s="4"/>
      <c r="O51" s="4"/>
      <c r="P51" s="4"/>
      <c r="Q51" s="4"/>
    </row>
    <row r="52" spans="7:23" hidden="1">
      <c r="G52" s="4"/>
      <c r="H52" s="4"/>
      <c r="I52" s="4"/>
      <c r="J52" s="4"/>
      <c r="K52" s="4"/>
      <c r="L52" s="4"/>
      <c r="M52" s="4"/>
      <c r="N52" s="4"/>
      <c r="O52" s="4"/>
      <c r="P52" s="4"/>
      <c r="Q52" s="4"/>
    </row>
    <row r="53" spans="7:23" hidden="1">
      <c r="G53" s="4"/>
      <c r="H53" s="4"/>
      <c r="I53" s="4"/>
      <c r="J53" s="4"/>
      <c r="K53" s="4"/>
      <c r="L53" s="4"/>
      <c r="M53" s="4"/>
      <c r="N53" s="4"/>
      <c r="O53" s="4"/>
      <c r="P53" s="4"/>
      <c r="Q53" s="4"/>
    </row>
    <row r="54" spans="7:23" hidden="1">
      <c r="G54" s="4"/>
      <c r="H54" s="4"/>
      <c r="I54" s="4"/>
      <c r="J54" s="4"/>
      <c r="K54" s="4"/>
      <c r="L54" s="4"/>
      <c r="M54" s="4"/>
      <c r="N54" s="4"/>
      <c r="O54" s="4"/>
      <c r="P54" s="4"/>
      <c r="Q54" s="4"/>
    </row>
    <row r="55" spans="7:23" hidden="1">
      <c r="G55" s="4"/>
      <c r="H55" s="4"/>
      <c r="I55" s="4"/>
      <c r="J55" s="4"/>
      <c r="K55" s="4"/>
      <c r="L55" s="4"/>
      <c r="M55" s="4"/>
      <c r="N55" s="4"/>
      <c r="O55" s="4"/>
      <c r="P55" s="4"/>
      <c r="Q55" s="4"/>
    </row>
    <row r="56" spans="7:23" hidden="1">
      <c r="G56" s="4"/>
      <c r="H56" s="4"/>
      <c r="I56" s="4"/>
      <c r="J56" s="4"/>
      <c r="K56" s="4"/>
      <c r="L56" s="4"/>
      <c r="M56" s="4"/>
      <c r="N56" s="4"/>
      <c r="O56" s="4"/>
      <c r="P56" s="4"/>
      <c r="Q56" s="4"/>
    </row>
    <row r="57" spans="7:23" hidden="1">
      <c r="G57" s="4"/>
      <c r="H57" s="4"/>
      <c r="I57" s="4"/>
      <c r="J57" s="4"/>
      <c r="K57" s="4"/>
      <c r="L57" s="4"/>
      <c r="M57" s="4"/>
      <c r="N57" s="4"/>
      <c r="O57" s="4"/>
      <c r="P57" s="4"/>
      <c r="Q57" s="4"/>
      <c r="W57" s="225" t="e">
        <f>'2. Forbrugerbesparelser'!#REF!</f>
        <v>#REF!</v>
      </c>
    </row>
    <row r="58" spans="7:23" hidden="1">
      <c r="G58" s="5"/>
      <c r="H58" s="5"/>
      <c r="I58" s="5"/>
      <c r="J58" s="5"/>
      <c r="K58" s="5"/>
    </row>
    <row r="59" spans="7:23" hidden="1">
      <c r="G59" s="5"/>
      <c r="H59" s="5"/>
      <c r="I59" s="5"/>
      <c r="J59" s="5"/>
      <c r="K59" s="5"/>
    </row>
    <row r="60" spans="7:23" hidden="1">
      <c r="G60" s="5"/>
      <c r="H60" s="5"/>
      <c r="I60" s="5"/>
      <c r="J60" s="5"/>
      <c r="K60" s="5"/>
    </row>
    <row r="61" spans="7:23" hidden="1">
      <c r="G61" s="5"/>
      <c r="H61" s="5"/>
      <c r="I61" s="5"/>
      <c r="J61" s="5"/>
      <c r="K61" s="5"/>
    </row>
    <row r="62" spans="7:23" hidden="1">
      <c r="G62" s="5"/>
      <c r="H62" s="5"/>
      <c r="I62" s="5"/>
      <c r="J62" s="5"/>
      <c r="K62" s="5"/>
    </row>
    <row r="63" spans="7:23" hidden="1">
      <c r="G63" s="5"/>
      <c r="H63" s="5"/>
      <c r="I63" s="5"/>
      <c r="J63" s="5"/>
      <c r="K63" s="5"/>
    </row>
    <row r="64" spans="7:23" hidden="1">
      <c r="G64" s="5"/>
      <c r="H64" s="5"/>
      <c r="I64" s="5"/>
      <c r="J64" s="5"/>
      <c r="K64" s="5"/>
    </row>
    <row r="65" spans="7:11" hidden="1">
      <c r="G65" s="5"/>
      <c r="H65" s="5"/>
      <c r="I65" s="5"/>
      <c r="J65" s="5"/>
      <c r="K65" s="5"/>
    </row>
    <row r="66" spans="7:11" hidden="1">
      <c r="G66" s="5"/>
      <c r="H66" s="5"/>
      <c r="I66" s="5"/>
      <c r="J66" s="5"/>
      <c r="K66" s="5"/>
    </row>
    <row r="67" spans="7:11" hidden="1">
      <c r="G67" s="5"/>
      <c r="H67" s="5"/>
      <c r="I67" s="5"/>
      <c r="J67" s="5"/>
      <c r="K67" s="5"/>
    </row>
  </sheetData>
  <sheetProtection algorithmName="SHA-512" hashValue="bFlWBIQrqMYBrIFaIRp12s1MxXOURKs2ktNSoqLhm5r8ZlxEMhLxkb54qpQjxMF79AqRGtQxmoNfIobQy1kUDA==" saltValue="FI/tNaNbsoFLZ5mqkA6HNQ=="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showGridLines="0" topLeftCell="A34" zoomScale="90" zoomScaleNormal="90" workbookViewId="0">
      <selection activeCell="C23" sqref="C23"/>
    </sheetView>
  </sheetViews>
  <sheetFormatPr defaultColWidth="0" defaultRowHeight="14.4" zeroHeight="1"/>
  <cols>
    <col min="1" max="1" width="8.88671875" customWidth="1"/>
    <col min="2" max="2" width="16.33203125" customWidth="1"/>
    <col min="3" max="3" width="45.21875" customWidth="1"/>
    <col min="4" max="4" width="20.88671875" customWidth="1"/>
    <col min="5" max="5" width="17.33203125" customWidth="1"/>
    <col min="6" max="6" width="18.21875" bestFit="1" customWidth="1"/>
    <col min="7" max="7" width="20.77734375" customWidth="1"/>
    <col min="8" max="8" width="20.6640625" style="5" customWidth="1"/>
    <col min="9" max="9" width="19.109375" customWidth="1"/>
    <col min="10" max="12" width="8.88671875" customWidth="1"/>
    <col min="13" max="16384" width="8.88671875" hidden="1"/>
  </cols>
  <sheetData>
    <row r="1" spans="2:10" s="5" customFormat="1" ht="19.2">
      <c r="B1" s="145" t="s">
        <v>240</v>
      </c>
    </row>
    <row r="2" spans="2:10">
      <c r="B2" s="146" t="s">
        <v>239</v>
      </c>
    </row>
    <row r="3" spans="2:10" s="6" customFormat="1" ht="15" thickBot="1"/>
    <row r="4" spans="2:10" s="5" customFormat="1"/>
    <row r="5" spans="2:10" ht="15" thickBot="1">
      <c r="B5" s="298" t="s">
        <v>266</v>
      </c>
    </row>
    <row r="6" spans="2:10" ht="15" thickBot="1">
      <c r="B6" s="253" t="s">
        <v>103</v>
      </c>
      <c r="C6" s="92" t="s">
        <v>238</v>
      </c>
      <c r="D6" s="283" t="s">
        <v>167</v>
      </c>
      <c r="E6" s="283" t="s">
        <v>168</v>
      </c>
      <c r="F6" s="283" t="s">
        <v>207</v>
      </c>
      <c r="G6" s="92" t="s">
        <v>208</v>
      </c>
      <c r="H6" s="92" t="s">
        <v>226</v>
      </c>
      <c r="I6" s="92" t="s">
        <v>227</v>
      </c>
      <c r="J6" s="254"/>
    </row>
    <row r="7" spans="2:10">
      <c r="B7" s="255" t="s">
        <v>169</v>
      </c>
      <c r="C7" s="260">
        <f>D7+E7-F7-G7</f>
        <v>470658463</v>
      </c>
      <c r="D7" s="79">
        <v>303535405</v>
      </c>
      <c r="E7" s="79">
        <v>252930668</v>
      </c>
      <c r="F7" s="79">
        <v>76558967</v>
      </c>
      <c r="G7" s="79">
        <v>9248643</v>
      </c>
      <c r="H7" s="79">
        <v>218419712.25659999</v>
      </c>
      <c r="I7" s="79">
        <f>C7+H7</f>
        <v>689078175.25660002</v>
      </c>
      <c r="J7" s="10"/>
    </row>
    <row r="8" spans="2:10">
      <c r="B8" s="255" t="s">
        <v>170</v>
      </c>
      <c r="C8" s="260">
        <f t="shared" ref="C8:C50" si="0">D8+E8-F8-G8</f>
        <v>117759246</v>
      </c>
      <c r="D8" s="79">
        <v>73301263</v>
      </c>
      <c r="E8" s="79">
        <v>57044032</v>
      </c>
      <c r="F8" s="79">
        <v>12111349</v>
      </c>
      <c r="G8" s="79">
        <v>474700</v>
      </c>
      <c r="H8" s="79">
        <v>39922470.810599998</v>
      </c>
      <c r="I8" s="79">
        <f t="shared" ref="I8:I50" si="1">C8+H8</f>
        <v>157681716.81059998</v>
      </c>
      <c r="J8" s="10"/>
    </row>
    <row r="9" spans="2:10">
      <c r="B9" s="255" t="s">
        <v>36</v>
      </c>
      <c r="C9" s="260">
        <f t="shared" si="0"/>
        <v>15803239</v>
      </c>
      <c r="D9" s="79">
        <v>11472864</v>
      </c>
      <c r="E9" s="79">
        <v>6637117</v>
      </c>
      <c r="F9" s="79">
        <v>2192814</v>
      </c>
      <c r="G9" s="79">
        <v>113928</v>
      </c>
      <c r="H9" s="79">
        <v>5160357.7079999996</v>
      </c>
      <c r="I9" s="79">
        <f t="shared" si="1"/>
        <v>20963596.708000001</v>
      </c>
      <c r="J9" s="10"/>
    </row>
    <row r="10" spans="2:10">
      <c r="B10" s="255" t="s">
        <v>38</v>
      </c>
      <c r="C10" s="260">
        <f t="shared" si="0"/>
        <v>19177884</v>
      </c>
      <c r="D10" s="79">
        <v>14390526</v>
      </c>
      <c r="E10" s="79">
        <v>9764639</v>
      </c>
      <c r="F10" s="79">
        <v>4639803</v>
      </c>
      <c r="G10" s="79">
        <v>337478</v>
      </c>
      <c r="H10" s="79">
        <v>6450114.0017999997</v>
      </c>
      <c r="I10" s="79">
        <f t="shared" si="1"/>
        <v>25627998.001800001</v>
      </c>
      <c r="J10" s="10"/>
    </row>
    <row r="11" spans="2:10">
      <c r="B11" s="255" t="s">
        <v>171</v>
      </c>
      <c r="C11" s="260">
        <f t="shared" si="0"/>
        <v>22672830</v>
      </c>
      <c r="D11" s="79">
        <v>15549989</v>
      </c>
      <c r="E11" s="79">
        <v>10578524</v>
      </c>
      <c r="F11" s="79">
        <v>3284935</v>
      </c>
      <c r="G11" s="79">
        <v>170748</v>
      </c>
      <c r="H11" s="79">
        <v>7737000.7457999997</v>
      </c>
      <c r="I11" s="79">
        <f t="shared" si="1"/>
        <v>30409830.7458</v>
      </c>
      <c r="J11" s="10"/>
    </row>
    <row r="12" spans="2:10">
      <c r="B12" s="255" t="s">
        <v>172</v>
      </c>
      <c r="C12" s="260">
        <f t="shared" si="0"/>
        <v>60100647</v>
      </c>
      <c r="D12" s="79">
        <v>40680748</v>
      </c>
      <c r="E12" s="79">
        <v>30310165</v>
      </c>
      <c r="F12" s="79">
        <v>6280336</v>
      </c>
      <c r="G12" s="79">
        <v>4609930</v>
      </c>
      <c r="H12" s="79">
        <v>18056701.207200002</v>
      </c>
      <c r="I12" s="79">
        <f t="shared" si="1"/>
        <v>78157348.207200006</v>
      </c>
      <c r="J12" s="10"/>
    </row>
    <row r="13" spans="2:10">
      <c r="B13" s="255" t="s">
        <v>173</v>
      </c>
      <c r="C13" s="260">
        <f t="shared" si="0"/>
        <v>440813384</v>
      </c>
      <c r="D13" s="79">
        <v>303686449</v>
      </c>
      <c r="E13" s="79">
        <v>258355287</v>
      </c>
      <c r="F13" s="79">
        <v>119588191</v>
      </c>
      <c r="G13" s="79">
        <v>1640161</v>
      </c>
      <c r="H13" s="79">
        <v>176672398.02000001</v>
      </c>
      <c r="I13" s="79">
        <f t="shared" si="1"/>
        <v>617485782.01999998</v>
      </c>
      <c r="J13" s="10"/>
    </row>
    <row r="14" spans="2:10">
      <c r="B14" s="255" t="s">
        <v>5</v>
      </c>
      <c r="C14" s="260">
        <f t="shared" si="0"/>
        <v>34123355</v>
      </c>
      <c r="D14" s="79">
        <v>22248201</v>
      </c>
      <c r="E14" s="79">
        <v>17366995</v>
      </c>
      <c r="F14" s="79">
        <v>5253982</v>
      </c>
      <c r="G14" s="79">
        <v>237859</v>
      </c>
      <c r="H14" s="79">
        <v>10929439.918199999</v>
      </c>
      <c r="I14" s="79">
        <f t="shared" si="1"/>
        <v>45052794.918200001</v>
      </c>
      <c r="J14" s="10"/>
    </row>
    <row r="15" spans="2:10">
      <c r="B15" s="255" t="s">
        <v>174</v>
      </c>
      <c r="C15" s="260">
        <f t="shared" si="0"/>
        <v>8429614</v>
      </c>
      <c r="D15" s="79">
        <v>5895833</v>
      </c>
      <c r="E15" s="79">
        <v>3617725</v>
      </c>
      <c r="F15" s="79">
        <v>916000</v>
      </c>
      <c r="G15" s="79">
        <v>167944</v>
      </c>
      <c r="H15" s="79">
        <v>3063868.9356</v>
      </c>
      <c r="I15" s="79">
        <f t="shared" si="1"/>
        <v>11493482.9356</v>
      </c>
      <c r="J15" s="10"/>
    </row>
    <row r="16" spans="2:10">
      <c r="B16" s="255" t="s">
        <v>175</v>
      </c>
      <c r="C16" s="260">
        <f t="shared" si="0"/>
        <v>7951116</v>
      </c>
      <c r="D16" s="79">
        <v>5985524</v>
      </c>
      <c r="E16" s="79">
        <v>3142429</v>
      </c>
      <c r="F16" s="79">
        <v>985270</v>
      </c>
      <c r="G16" s="79">
        <v>191567</v>
      </c>
      <c r="H16" s="79">
        <v>1562504.9106000001</v>
      </c>
      <c r="I16" s="79">
        <f t="shared" si="1"/>
        <v>9513620.9105999991</v>
      </c>
      <c r="J16" s="10"/>
    </row>
    <row r="17" spans="2:10">
      <c r="B17" s="255" t="s">
        <v>176</v>
      </c>
      <c r="C17" s="260">
        <f t="shared" si="0"/>
        <v>3881379</v>
      </c>
      <c r="D17" s="79">
        <v>3348117</v>
      </c>
      <c r="E17" s="79">
        <v>1471712</v>
      </c>
      <c r="F17" s="79">
        <v>771273</v>
      </c>
      <c r="G17" s="79">
        <v>167177</v>
      </c>
      <c r="H17" s="79">
        <v>936193.44960000005</v>
      </c>
      <c r="I17" s="79">
        <f t="shared" si="1"/>
        <v>4817572.4495999999</v>
      </c>
      <c r="J17" s="10"/>
    </row>
    <row r="18" spans="2:10">
      <c r="B18" s="255" t="s">
        <v>177</v>
      </c>
      <c r="C18" s="260">
        <f t="shared" si="0"/>
        <v>1749184</v>
      </c>
      <c r="D18" s="79">
        <v>1414012</v>
      </c>
      <c r="E18" s="79">
        <v>585912</v>
      </c>
      <c r="F18" s="79">
        <v>93848</v>
      </c>
      <c r="G18" s="79">
        <v>156892</v>
      </c>
      <c r="H18" s="79">
        <v>287632.77539999998</v>
      </c>
      <c r="I18" s="79">
        <f t="shared" si="1"/>
        <v>2036816.7753999999</v>
      </c>
      <c r="J18" s="10"/>
    </row>
    <row r="19" spans="2:10">
      <c r="B19" s="255" t="s">
        <v>178</v>
      </c>
      <c r="C19" s="260">
        <f t="shared" si="0"/>
        <v>3364231</v>
      </c>
      <c r="D19" s="79">
        <v>2426279</v>
      </c>
      <c r="E19" s="79">
        <v>1511470</v>
      </c>
      <c r="F19" s="79">
        <v>256395</v>
      </c>
      <c r="G19" s="79">
        <v>317123</v>
      </c>
      <c r="H19" s="79">
        <v>554499.88199999998</v>
      </c>
      <c r="I19" s="79">
        <f t="shared" si="1"/>
        <v>3918730.8820000002</v>
      </c>
      <c r="J19" s="10"/>
    </row>
    <row r="20" spans="2:10">
      <c r="B20" s="255" t="s">
        <v>179</v>
      </c>
      <c r="C20" s="260">
        <f t="shared" si="0"/>
        <v>9215957</v>
      </c>
      <c r="D20" s="79">
        <v>6001824</v>
      </c>
      <c r="E20" s="79">
        <v>4971345</v>
      </c>
      <c r="F20" s="79">
        <v>1599844</v>
      </c>
      <c r="G20" s="79">
        <v>157368</v>
      </c>
      <c r="H20" s="79">
        <v>3124322.2170000002</v>
      </c>
      <c r="I20" s="79">
        <f t="shared" si="1"/>
        <v>12340279.217</v>
      </c>
      <c r="J20" s="10"/>
    </row>
    <row r="21" spans="2:10">
      <c r="B21" s="255" t="s">
        <v>180</v>
      </c>
      <c r="C21" s="260">
        <f t="shared" si="0"/>
        <v>1386453</v>
      </c>
      <c r="D21" s="79">
        <v>1440902</v>
      </c>
      <c r="E21" s="79">
        <v>265000</v>
      </c>
      <c r="F21" s="79">
        <v>142612</v>
      </c>
      <c r="G21" s="79">
        <v>176837</v>
      </c>
      <c r="H21" s="79">
        <v>329294.44559999998</v>
      </c>
      <c r="I21" s="79">
        <f t="shared" si="1"/>
        <v>1715747.4456</v>
      </c>
      <c r="J21" s="10"/>
    </row>
    <row r="22" spans="2:10">
      <c r="B22" s="255" t="s">
        <v>181</v>
      </c>
      <c r="C22" s="260">
        <f t="shared" si="0"/>
        <v>3217693</v>
      </c>
      <c r="D22" s="79">
        <v>2929742</v>
      </c>
      <c r="E22" s="79">
        <v>924641</v>
      </c>
      <c r="F22" s="79">
        <v>549994</v>
      </c>
      <c r="G22" s="79">
        <v>86696</v>
      </c>
      <c r="H22" s="79">
        <v>281797.27140000003</v>
      </c>
      <c r="I22" s="79">
        <f t="shared" si="1"/>
        <v>3499490.2714</v>
      </c>
      <c r="J22" s="10"/>
    </row>
    <row r="23" spans="2:10">
      <c r="B23" s="255" t="s">
        <v>182</v>
      </c>
      <c r="C23" s="260">
        <f t="shared" si="0"/>
        <v>418983</v>
      </c>
      <c r="D23" s="79">
        <v>354593</v>
      </c>
      <c r="E23" s="79">
        <v>259028</v>
      </c>
      <c r="F23" s="79">
        <v>129580</v>
      </c>
      <c r="G23" s="79">
        <v>65058</v>
      </c>
      <c r="H23" s="79">
        <v>158346.78899999999</v>
      </c>
      <c r="I23" s="79">
        <f t="shared" si="1"/>
        <v>577329.78899999999</v>
      </c>
      <c r="J23" s="10"/>
    </row>
    <row r="24" spans="2:10">
      <c r="B24" s="255" t="s">
        <v>183</v>
      </c>
      <c r="C24" s="260">
        <f t="shared" si="0"/>
        <v>208886075</v>
      </c>
      <c r="D24" s="79">
        <v>128261837</v>
      </c>
      <c r="E24" s="79">
        <v>119111593</v>
      </c>
      <c r="F24" s="79">
        <v>35600940</v>
      </c>
      <c r="G24" s="79">
        <v>2886415</v>
      </c>
      <c r="H24" s="79">
        <v>74399140.769400001</v>
      </c>
      <c r="I24" s="79">
        <f t="shared" si="1"/>
        <v>283285215.7694</v>
      </c>
      <c r="J24" s="10"/>
    </row>
    <row r="25" spans="2:10">
      <c r="B25" s="255" t="s">
        <v>184</v>
      </c>
      <c r="C25" s="260">
        <f t="shared" si="0"/>
        <v>24060765</v>
      </c>
      <c r="D25" s="79">
        <v>15148138</v>
      </c>
      <c r="E25" s="79">
        <v>11368907</v>
      </c>
      <c r="F25" s="79">
        <v>2191599</v>
      </c>
      <c r="G25" s="79">
        <v>264681</v>
      </c>
      <c r="H25" s="79">
        <v>7000619.6160000004</v>
      </c>
      <c r="I25" s="79">
        <f t="shared" si="1"/>
        <v>31061384.616</v>
      </c>
      <c r="J25" s="10"/>
    </row>
    <row r="26" spans="2:10">
      <c r="B26" s="255" t="s">
        <v>185</v>
      </c>
      <c r="C26" s="260">
        <f t="shared" si="0"/>
        <v>4504986</v>
      </c>
      <c r="D26" s="79">
        <v>3405646</v>
      </c>
      <c r="E26" s="79">
        <v>1525220</v>
      </c>
      <c r="F26" s="79">
        <v>336845</v>
      </c>
      <c r="G26" s="79">
        <v>89035</v>
      </c>
      <c r="H26" s="79">
        <v>981261.33539999998</v>
      </c>
      <c r="I26" s="79">
        <f t="shared" si="1"/>
        <v>5486247.3354000002</v>
      </c>
      <c r="J26" s="10"/>
    </row>
    <row r="27" spans="2:10">
      <c r="B27" s="255" t="s">
        <v>186</v>
      </c>
      <c r="C27" s="260">
        <f t="shared" si="0"/>
        <v>4774017</v>
      </c>
      <c r="D27" s="79">
        <v>3292229</v>
      </c>
      <c r="E27" s="79">
        <v>2110378</v>
      </c>
      <c r="F27" s="79">
        <v>460795</v>
      </c>
      <c r="G27" s="79">
        <v>167795</v>
      </c>
      <c r="H27" s="79">
        <v>1237819.6128</v>
      </c>
      <c r="I27" s="79">
        <f t="shared" si="1"/>
        <v>6011836.6128000002</v>
      </c>
      <c r="J27" s="10"/>
    </row>
    <row r="28" spans="2:10">
      <c r="B28" s="255" t="s">
        <v>14</v>
      </c>
      <c r="C28" s="260">
        <f t="shared" si="0"/>
        <v>427623155</v>
      </c>
      <c r="D28" s="79">
        <v>237772235</v>
      </c>
      <c r="E28" s="79">
        <v>269973529</v>
      </c>
      <c r="F28" s="79">
        <v>78559850</v>
      </c>
      <c r="G28" s="79">
        <v>1562759</v>
      </c>
      <c r="H28" s="79">
        <v>192021117.63839999</v>
      </c>
      <c r="I28" s="79">
        <f t="shared" si="1"/>
        <v>619644272.63839996</v>
      </c>
      <c r="J28" s="10"/>
    </row>
    <row r="29" spans="2:10">
      <c r="B29" s="255" t="s">
        <v>187</v>
      </c>
      <c r="C29" s="260">
        <f t="shared" si="0"/>
        <v>12431208</v>
      </c>
      <c r="D29" s="79">
        <v>8995957</v>
      </c>
      <c r="E29" s="79">
        <v>6563025</v>
      </c>
      <c r="F29" s="79">
        <v>2959891</v>
      </c>
      <c r="G29" s="79">
        <v>167883</v>
      </c>
      <c r="H29" s="79">
        <v>4122588.8640000001</v>
      </c>
      <c r="I29" s="79">
        <f t="shared" si="1"/>
        <v>16553796.864</v>
      </c>
      <c r="J29" s="10"/>
    </row>
    <row r="30" spans="2:10">
      <c r="B30" s="255" t="s">
        <v>188</v>
      </c>
      <c r="C30" s="260">
        <f t="shared" si="0"/>
        <v>36817969</v>
      </c>
      <c r="D30" s="79">
        <v>32517761</v>
      </c>
      <c r="E30" s="79">
        <v>13425446</v>
      </c>
      <c r="F30" s="79">
        <v>7883750</v>
      </c>
      <c r="G30" s="79">
        <v>1241488</v>
      </c>
      <c r="H30" s="79">
        <v>10451416.211999999</v>
      </c>
      <c r="I30" s="79">
        <f t="shared" si="1"/>
        <v>47269385.211999997</v>
      </c>
      <c r="J30" s="10"/>
    </row>
    <row r="31" spans="2:10">
      <c r="B31" s="255" t="s">
        <v>189</v>
      </c>
      <c r="C31" s="260">
        <f t="shared" si="0"/>
        <v>9099826</v>
      </c>
      <c r="D31" s="79">
        <v>6387311</v>
      </c>
      <c r="E31" s="79">
        <v>3929488</v>
      </c>
      <c r="F31" s="79">
        <v>1042037</v>
      </c>
      <c r="G31" s="79">
        <v>174936</v>
      </c>
      <c r="H31" s="79">
        <v>3188970.9564</v>
      </c>
      <c r="I31" s="79">
        <f t="shared" si="1"/>
        <v>12288796.9564</v>
      </c>
      <c r="J31" s="10"/>
    </row>
    <row r="32" spans="2:10">
      <c r="B32" s="255" t="s">
        <v>190</v>
      </c>
      <c r="C32" s="260">
        <f t="shared" si="0"/>
        <v>17077388</v>
      </c>
      <c r="D32" s="79">
        <v>13102173</v>
      </c>
      <c r="E32" s="79">
        <v>5926305</v>
      </c>
      <c r="F32" s="79">
        <v>1754816</v>
      </c>
      <c r="G32" s="79">
        <v>196274</v>
      </c>
      <c r="H32" s="79">
        <v>3395761.4687999999</v>
      </c>
      <c r="I32" s="79">
        <f t="shared" si="1"/>
        <v>20473149.468800001</v>
      </c>
      <c r="J32" s="10"/>
    </row>
    <row r="33" spans="2:10">
      <c r="B33" s="255" t="s">
        <v>191</v>
      </c>
      <c r="C33" s="260">
        <f t="shared" si="0"/>
        <v>42616529</v>
      </c>
      <c r="D33" s="79">
        <v>21366907</v>
      </c>
      <c r="E33" s="79">
        <v>27197648</v>
      </c>
      <c r="F33" s="79">
        <v>3776386</v>
      </c>
      <c r="G33" s="79">
        <v>2171640</v>
      </c>
      <c r="H33" s="79">
        <v>21303152.243999999</v>
      </c>
      <c r="I33" s="79">
        <f t="shared" si="1"/>
        <v>63919681.244000003</v>
      </c>
      <c r="J33" s="10"/>
    </row>
    <row r="34" spans="2:10">
      <c r="B34" s="255" t="s">
        <v>192</v>
      </c>
      <c r="C34" s="260">
        <f t="shared" si="0"/>
        <v>116046638</v>
      </c>
      <c r="D34" s="79">
        <v>54423117</v>
      </c>
      <c r="E34" s="79">
        <v>74014031</v>
      </c>
      <c r="F34" s="79">
        <v>11524252</v>
      </c>
      <c r="G34" s="79">
        <v>866258</v>
      </c>
      <c r="H34" s="79">
        <v>45722180.047200002</v>
      </c>
      <c r="I34" s="79">
        <f t="shared" si="1"/>
        <v>161768818.04719999</v>
      </c>
      <c r="J34" s="10"/>
    </row>
    <row r="35" spans="2:10">
      <c r="B35" s="255" t="s">
        <v>193</v>
      </c>
      <c r="C35" s="260">
        <f t="shared" si="0"/>
        <v>1206840110.0799999</v>
      </c>
      <c r="D35" s="79">
        <v>840659268</v>
      </c>
      <c r="E35" s="79">
        <v>695947672</v>
      </c>
      <c r="F35" s="79">
        <v>232900749</v>
      </c>
      <c r="G35" s="79">
        <v>96866080.919999987</v>
      </c>
      <c r="H35" s="79">
        <v>407914730.73654598</v>
      </c>
      <c r="I35" s="79">
        <f t="shared" si="1"/>
        <v>1614754840.816546</v>
      </c>
      <c r="J35" s="10"/>
    </row>
    <row r="36" spans="2:10">
      <c r="B36" s="255" t="s">
        <v>194</v>
      </c>
      <c r="C36" s="260">
        <f t="shared" si="0"/>
        <v>76960436</v>
      </c>
      <c r="D36" s="79">
        <v>44032074</v>
      </c>
      <c r="E36" s="79">
        <v>47441307</v>
      </c>
      <c r="F36" s="79">
        <v>14084945</v>
      </c>
      <c r="G36" s="79">
        <v>428000</v>
      </c>
      <c r="H36" s="79">
        <v>36353546.214000002</v>
      </c>
      <c r="I36" s="79">
        <f t="shared" si="1"/>
        <v>113313982.214</v>
      </c>
      <c r="J36" s="10"/>
    </row>
    <row r="37" spans="2:10">
      <c r="B37" s="255" t="s">
        <v>20</v>
      </c>
      <c r="C37" s="260">
        <f t="shared" si="0"/>
        <v>20472398</v>
      </c>
      <c r="D37" s="79">
        <v>14044610</v>
      </c>
      <c r="E37" s="79">
        <v>9352313</v>
      </c>
      <c r="F37" s="79">
        <v>2676099</v>
      </c>
      <c r="G37" s="79">
        <v>248426</v>
      </c>
      <c r="H37" s="79">
        <v>5165422.7819999997</v>
      </c>
      <c r="I37" s="79">
        <f t="shared" si="1"/>
        <v>25637820.781999998</v>
      </c>
      <c r="J37" s="10"/>
    </row>
    <row r="38" spans="2:10">
      <c r="B38" s="255" t="s">
        <v>195</v>
      </c>
      <c r="C38" s="260">
        <f t="shared" si="0"/>
        <v>2062732</v>
      </c>
      <c r="D38" s="79">
        <v>1829823</v>
      </c>
      <c r="E38" s="79">
        <v>587672</v>
      </c>
      <c r="F38" s="79">
        <v>192296</v>
      </c>
      <c r="G38" s="79">
        <v>162467</v>
      </c>
      <c r="H38" s="79">
        <v>308897.37540000002</v>
      </c>
      <c r="I38" s="79">
        <f t="shared" si="1"/>
        <v>2371629.3754000003</v>
      </c>
      <c r="J38" s="10"/>
    </row>
    <row r="39" spans="2:10">
      <c r="B39" s="255" t="s">
        <v>196</v>
      </c>
      <c r="C39" s="260">
        <f t="shared" si="0"/>
        <v>2955940</v>
      </c>
      <c r="D39" s="79">
        <v>2060955</v>
      </c>
      <c r="E39" s="79">
        <v>1263253</v>
      </c>
      <c r="F39" s="79">
        <v>210554</v>
      </c>
      <c r="G39" s="79">
        <v>157714</v>
      </c>
      <c r="H39" s="79">
        <v>575127.01980000001</v>
      </c>
      <c r="I39" s="79">
        <f t="shared" si="1"/>
        <v>3531067.0197999999</v>
      </c>
      <c r="J39" s="10"/>
    </row>
    <row r="40" spans="2:10">
      <c r="B40" s="255" t="s">
        <v>197</v>
      </c>
      <c r="C40" s="260">
        <f t="shared" si="0"/>
        <v>74629688</v>
      </c>
      <c r="D40" s="79">
        <v>43340000</v>
      </c>
      <c r="E40" s="79">
        <v>39312000</v>
      </c>
      <c r="F40" s="79">
        <v>7442000</v>
      </c>
      <c r="G40" s="79">
        <v>580312</v>
      </c>
      <c r="H40" s="79">
        <v>30827268.037799999</v>
      </c>
      <c r="I40" s="79">
        <f t="shared" si="1"/>
        <v>105456956.0378</v>
      </c>
      <c r="J40" s="10"/>
    </row>
    <row r="41" spans="2:10">
      <c r="B41" s="255" t="s">
        <v>198</v>
      </c>
      <c r="C41" s="260">
        <f t="shared" si="0"/>
        <v>146302039</v>
      </c>
      <c r="D41" s="79">
        <v>90911701</v>
      </c>
      <c r="E41" s="79">
        <v>87102844</v>
      </c>
      <c r="F41" s="79">
        <v>31021462</v>
      </c>
      <c r="G41" s="79">
        <v>691044</v>
      </c>
      <c r="H41" s="79">
        <v>56225675.057999998</v>
      </c>
      <c r="I41" s="79">
        <f t="shared" si="1"/>
        <v>202527714.058</v>
      </c>
      <c r="J41" s="10"/>
    </row>
    <row r="42" spans="2:10">
      <c r="B42" s="255" t="s">
        <v>37</v>
      </c>
      <c r="C42" s="260">
        <f t="shared" si="0"/>
        <v>13751164</v>
      </c>
      <c r="D42" s="79">
        <v>8306007</v>
      </c>
      <c r="E42" s="79">
        <v>7525978</v>
      </c>
      <c r="F42" s="79">
        <v>1914188</v>
      </c>
      <c r="G42" s="79">
        <v>166633</v>
      </c>
      <c r="H42" s="79">
        <v>4481231.8248000005</v>
      </c>
      <c r="I42" s="79">
        <f t="shared" si="1"/>
        <v>18232395.8248</v>
      </c>
      <c r="J42" s="10"/>
    </row>
    <row r="43" spans="2:10">
      <c r="B43" s="255" t="s">
        <v>199</v>
      </c>
      <c r="C43" s="260">
        <f t="shared" si="0"/>
        <v>23030054</v>
      </c>
      <c r="D43" s="79">
        <v>25875877</v>
      </c>
      <c r="E43" s="79">
        <v>8636715</v>
      </c>
      <c r="F43" s="79">
        <v>11289276</v>
      </c>
      <c r="G43" s="79">
        <v>193262</v>
      </c>
      <c r="H43" s="79">
        <v>5685065.0436000004</v>
      </c>
      <c r="I43" s="79">
        <f t="shared" si="1"/>
        <v>28715119.0436</v>
      </c>
      <c r="J43" s="10"/>
    </row>
    <row r="44" spans="2:10">
      <c r="B44" s="255" t="s">
        <v>200</v>
      </c>
      <c r="C44" s="260">
        <f t="shared" si="0"/>
        <v>3417374</v>
      </c>
      <c r="D44" s="79">
        <v>2898507</v>
      </c>
      <c r="E44" s="79">
        <v>1262578</v>
      </c>
      <c r="F44" s="79">
        <v>576499</v>
      </c>
      <c r="G44" s="79">
        <v>167212</v>
      </c>
      <c r="H44" s="79">
        <v>756000.41339999996</v>
      </c>
      <c r="I44" s="79">
        <f t="shared" si="1"/>
        <v>4173374.4134</v>
      </c>
      <c r="J44" s="10"/>
    </row>
    <row r="45" spans="2:10">
      <c r="B45" s="255" t="s">
        <v>201</v>
      </c>
      <c r="C45" s="260">
        <f t="shared" si="0"/>
        <v>2827933</v>
      </c>
      <c r="D45" s="79">
        <v>2585108</v>
      </c>
      <c r="E45" s="79">
        <v>818106</v>
      </c>
      <c r="F45" s="79">
        <v>401812</v>
      </c>
      <c r="G45" s="79">
        <v>173469</v>
      </c>
      <c r="H45" s="79">
        <v>465114.48360000004</v>
      </c>
      <c r="I45" s="79">
        <f t="shared" si="1"/>
        <v>3293047.4835999999</v>
      </c>
      <c r="J45" s="10"/>
    </row>
    <row r="46" spans="2:10">
      <c r="B46" s="255" t="s">
        <v>202</v>
      </c>
      <c r="C46" s="260">
        <f t="shared" si="0"/>
        <v>4796831</v>
      </c>
      <c r="D46" s="79">
        <v>3649316</v>
      </c>
      <c r="E46" s="79">
        <v>2381755</v>
      </c>
      <c r="F46" s="79">
        <v>1082722</v>
      </c>
      <c r="G46" s="79">
        <v>151518</v>
      </c>
      <c r="H46" s="79">
        <v>869412.76020000002</v>
      </c>
      <c r="I46" s="79">
        <f t="shared" si="1"/>
        <v>5666243.7602000004</v>
      </c>
      <c r="J46" s="10"/>
    </row>
    <row r="47" spans="2:10">
      <c r="B47" s="255" t="s">
        <v>203</v>
      </c>
      <c r="C47" s="260">
        <f t="shared" si="0"/>
        <v>212346069</v>
      </c>
      <c r="D47" s="79">
        <v>124249681</v>
      </c>
      <c r="E47" s="79">
        <v>138680763</v>
      </c>
      <c r="F47" s="79">
        <v>41189944</v>
      </c>
      <c r="G47" s="79">
        <v>9394431</v>
      </c>
      <c r="H47" s="79">
        <v>79592038.915199995</v>
      </c>
      <c r="I47" s="79">
        <f t="shared" si="1"/>
        <v>291938107.9152</v>
      </c>
      <c r="J47" s="10"/>
    </row>
    <row r="48" spans="2:10">
      <c r="B48" s="255" t="s">
        <v>204</v>
      </c>
      <c r="C48" s="260">
        <f t="shared" si="0"/>
        <v>19198686</v>
      </c>
      <c r="D48" s="79">
        <v>15926262</v>
      </c>
      <c r="E48" s="79">
        <v>6012175</v>
      </c>
      <c r="F48" s="79">
        <v>2545170</v>
      </c>
      <c r="G48" s="79">
        <v>194581</v>
      </c>
      <c r="H48" s="79">
        <v>6551554.7813999997</v>
      </c>
      <c r="I48" s="79">
        <f t="shared" si="1"/>
        <v>25750240.781399999</v>
      </c>
      <c r="J48" s="10"/>
    </row>
    <row r="49" spans="2:10">
      <c r="B49" s="255" t="s">
        <v>205</v>
      </c>
      <c r="C49" s="260">
        <f t="shared" si="0"/>
        <v>1337709</v>
      </c>
      <c r="D49" s="79">
        <v>1122369</v>
      </c>
      <c r="E49" s="79">
        <v>479406</v>
      </c>
      <c r="F49" s="79">
        <v>117497</v>
      </c>
      <c r="G49" s="79">
        <v>146569</v>
      </c>
      <c r="H49" s="79">
        <v>214843.39079999999</v>
      </c>
      <c r="I49" s="79">
        <f t="shared" si="1"/>
        <v>1552552.3907999999</v>
      </c>
      <c r="J49" s="10"/>
    </row>
    <row r="50" spans="2:10" s="6" customFormat="1" ht="15" thickBot="1">
      <c r="B50" s="256" t="s">
        <v>206</v>
      </c>
      <c r="C50" s="261">
        <f t="shared" si="0"/>
        <v>3317468</v>
      </c>
      <c r="D50" s="81">
        <v>1715481</v>
      </c>
      <c r="E50" s="81">
        <v>2037462</v>
      </c>
      <c r="F50" s="81">
        <v>346688</v>
      </c>
      <c r="G50" s="81">
        <v>88787</v>
      </c>
      <c r="H50" s="81">
        <v>922118.26080000005</v>
      </c>
      <c r="I50" s="79">
        <f t="shared" si="1"/>
        <v>4239586.2608000003</v>
      </c>
      <c r="J50" s="13"/>
    </row>
    <row r="51" spans="2:10" s="259" customFormat="1" ht="15" thickBot="1">
      <c r="B51" s="257" t="s">
        <v>122</v>
      </c>
      <c r="C51" s="284">
        <f>SUM(C7:C50)</f>
        <v>3938908845.0799999</v>
      </c>
      <c r="D51" s="258">
        <f>SUM(D7:D50)</f>
        <v>2562542621</v>
      </c>
      <c r="E51" s="258">
        <f>SUM(E7:E50)</f>
        <v>2243724258</v>
      </c>
      <c r="F51" s="92"/>
      <c r="G51" s="92"/>
      <c r="H51" s="258">
        <f>SUM(H7:H50)</f>
        <v>1494378731.2061458</v>
      </c>
      <c r="I51" s="274">
        <f>SUM(I7:I50)</f>
        <v>5433287576.2861443</v>
      </c>
    </row>
    <row r="52" spans="2:10">
      <c r="B52" s="74"/>
      <c r="C52" s="74"/>
      <c r="D52" s="74"/>
      <c r="E52" s="74"/>
      <c r="F52" s="74"/>
    </row>
    <row r="53" spans="2:10" hidden="1">
      <c r="B53" s="74"/>
      <c r="C53" s="74"/>
      <c r="D53" s="74"/>
      <c r="E53" s="74"/>
      <c r="F53" s="74"/>
    </row>
  </sheetData>
  <sheetProtection algorithmName="SHA-512" hashValue="Z4Z/A54xnVJQtk0PPtHezJ7Y3LlFu+r3yPzIDpCH/V7lI5vwzYuBbV4kECuVsVhwhA1fmTZQ//UlnxewLLn37w==" saltValue="3SU/Wa7RcyMWDxWihKCyng=="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67"/>
  <sheetViews>
    <sheetView showGridLines="0" topLeftCell="H1" zoomScale="80" zoomScaleNormal="80" workbookViewId="0">
      <selection activeCell="P27" sqref="P27"/>
    </sheetView>
  </sheetViews>
  <sheetFormatPr defaultRowHeight="13.8" zeroHeight="1"/>
  <cols>
    <col min="1" max="1" width="3.5546875" style="15" customWidth="1"/>
    <col min="2" max="2" width="36.44140625" style="15" customWidth="1"/>
    <col min="3" max="3" width="23.5546875" style="15" customWidth="1"/>
    <col min="4" max="4" width="12.6640625" style="15" customWidth="1"/>
    <col min="5" max="5" width="21" style="15" customWidth="1"/>
    <col min="6" max="6" width="14.44140625" style="15" customWidth="1"/>
    <col min="7" max="7" width="27.6640625" style="15" customWidth="1"/>
    <col min="8" max="9" width="6.44140625" style="15" customWidth="1"/>
    <col min="10" max="10" width="23.77734375" style="15" customWidth="1"/>
    <col min="11" max="11" width="22.21875" style="15" customWidth="1"/>
    <col min="12" max="12" width="24" style="15" customWidth="1"/>
    <col min="13" max="13" width="20.88671875" style="15" customWidth="1"/>
    <col min="14" max="14" width="18.109375" style="15" customWidth="1"/>
    <col min="15" max="15" width="6.21875" style="15" customWidth="1"/>
    <col min="16" max="16" width="19.88671875" style="15" customWidth="1"/>
    <col min="17" max="17" width="14.109375" style="15" bestFit="1" customWidth="1"/>
    <col min="18" max="18" width="14.21875" style="15" customWidth="1"/>
    <col min="19" max="19" width="16.21875" style="15" customWidth="1"/>
    <col min="20" max="20" width="15.77734375" style="15" customWidth="1"/>
    <col min="21" max="21" width="19.21875" style="15" customWidth="1"/>
    <col min="22" max="22" width="16.5546875" style="15" customWidth="1"/>
    <col min="23" max="23" width="20.6640625" style="15" customWidth="1"/>
    <col min="24" max="24" width="16.33203125" style="15" customWidth="1"/>
    <col min="25" max="29" width="8.88671875" style="15"/>
    <col min="30" max="30" width="15.109375" style="15" bestFit="1" customWidth="1"/>
    <col min="31" max="31" width="15.44140625" style="15" customWidth="1"/>
    <col min="32" max="16383" width="0" style="15" hidden="1" customWidth="1"/>
    <col min="16384" max="16384" width="19.77734375" style="15" hidden="1" customWidth="1"/>
  </cols>
  <sheetData>
    <row r="1" spans="2:31" ht="19.2">
      <c r="B1" s="16" t="s">
        <v>241</v>
      </c>
    </row>
    <row r="2" spans="2:31">
      <c r="B2" s="300" t="s">
        <v>242</v>
      </c>
      <c r="C2" s="300"/>
      <c r="D2" s="300"/>
      <c r="E2" s="300"/>
      <c r="F2" s="300"/>
      <c r="G2" s="300"/>
      <c r="H2" s="300"/>
      <c r="I2" s="300"/>
      <c r="J2" s="300"/>
      <c r="K2" s="300"/>
      <c r="L2" s="300"/>
      <c r="M2" s="300"/>
      <c r="N2" s="300"/>
    </row>
    <row r="3" spans="2:31">
      <c r="B3" s="300"/>
      <c r="C3" s="300"/>
      <c r="D3" s="300"/>
      <c r="E3" s="300"/>
      <c r="F3" s="300"/>
      <c r="G3" s="300"/>
      <c r="H3" s="300"/>
      <c r="I3" s="300"/>
      <c r="J3" s="300"/>
      <c r="K3" s="300"/>
      <c r="L3" s="300"/>
      <c r="M3" s="300"/>
      <c r="N3" s="300"/>
    </row>
    <row r="4" spans="2:31" s="17" customFormat="1" ht="15" thickBot="1">
      <c r="E4" s="6"/>
    </row>
    <row r="5" spans="2:31">
      <c r="B5" s="18" t="s">
        <v>136</v>
      </c>
      <c r="J5" s="19" t="s">
        <v>137</v>
      </c>
      <c r="L5" s="19"/>
      <c r="M5" s="19"/>
      <c r="N5" s="19"/>
      <c r="O5" s="19"/>
      <c r="P5" s="19"/>
      <c r="Q5" s="19"/>
    </row>
    <row r="6" spans="2:31" ht="14.4">
      <c r="B6" s="20"/>
    </row>
    <row r="7" spans="2:31" ht="15" thickBot="1">
      <c r="B7" s="20" t="s">
        <v>267</v>
      </c>
      <c r="J7" s="20" t="s">
        <v>268</v>
      </c>
      <c r="U7" s="20" t="s">
        <v>269</v>
      </c>
      <c r="V7" s="20"/>
    </row>
    <row r="8" spans="2:31" ht="41.4">
      <c r="B8" s="49" t="s">
        <v>98</v>
      </c>
      <c r="C8" s="50" t="s">
        <v>273</v>
      </c>
      <c r="D8" s="50" t="s">
        <v>100</v>
      </c>
      <c r="E8" s="50" t="s">
        <v>138</v>
      </c>
      <c r="F8" s="50" t="s">
        <v>101</v>
      </c>
      <c r="G8" s="51" t="s">
        <v>274</v>
      </c>
      <c r="H8" s="19"/>
      <c r="I8" s="19"/>
      <c r="J8" s="53" t="s">
        <v>103</v>
      </c>
      <c r="K8" s="54" t="s">
        <v>112</v>
      </c>
      <c r="L8" s="54" t="s">
        <v>114</v>
      </c>
      <c r="M8" s="55" t="s">
        <v>139</v>
      </c>
      <c r="N8" s="54" t="s">
        <v>275</v>
      </c>
      <c r="O8" s="21"/>
      <c r="P8" s="21"/>
      <c r="Q8" s="21"/>
      <c r="R8" s="21"/>
      <c r="S8" s="22"/>
      <c r="T8" s="18"/>
      <c r="U8" s="68" t="s">
        <v>98</v>
      </c>
      <c r="V8" s="69" t="s">
        <v>115</v>
      </c>
      <c r="W8" s="69" t="s">
        <v>116</v>
      </c>
      <c r="X8" s="70" t="s">
        <v>139</v>
      </c>
      <c r="Y8" s="21" t="s">
        <v>125</v>
      </c>
      <c r="Z8" s="21"/>
      <c r="AA8" s="21"/>
      <c r="AB8" s="21"/>
      <c r="AC8" s="21"/>
      <c r="AD8" s="22"/>
      <c r="AE8" s="23"/>
    </row>
    <row r="9" spans="2:31">
      <c r="B9" s="47" t="s">
        <v>2</v>
      </c>
      <c r="C9" s="24">
        <f>E9*D9</f>
        <v>125986053.06611334</v>
      </c>
      <c r="D9" s="25">
        <v>0.19151822069999999</v>
      </c>
      <c r="E9" s="26">
        <v>657828026</v>
      </c>
      <c r="F9" s="207">
        <v>0.19151822069999999</v>
      </c>
      <c r="G9" s="30">
        <f>E9*F9</f>
        <v>125986053.06611334</v>
      </c>
      <c r="H9" s="27"/>
      <c r="I9" s="27"/>
      <c r="J9" s="64" t="s">
        <v>2</v>
      </c>
      <c r="K9" s="56">
        <v>5747771.8658057461</v>
      </c>
      <c r="L9" s="56">
        <v>10110000</v>
      </c>
      <c r="M9" s="57" t="b">
        <v>1</v>
      </c>
      <c r="N9" s="56">
        <f>K9+MAX(L9-K9,0)</f>
        <v>10110000</v>
      </c>
      <c r="O9" s="23"/>
      <c r="P9" s="23"/>
      <c r="Q9" s="23"/>
      <c r="R9" s="23"/>
      <c r="S9" s="61" t="s">
        <v>122</v>
      </c>
      <c r="T9" s="23"/>
      <c r="U9" s="71" t="s">
        <v>2</v>
      </c>
      <c r="V9" s="26">
        <v>1731338.1434159426</v>
      </c>
      <c r="W9" s="26">
        <v>13690000</v>
      </c>
      <c r="X9" s="23" t="b">
        <v>1</v>
      </c>
      <c r="Y9" s="23"/>
      <c r="Z9" s="23"/>
      <c r="AA9" s="23"/>
      <c r="AB9" s="23"/>
      <c r="AC9" s="23"/>
      <c r="AD9" s="29"/>
      <c r="AE9" s="23"/>
    </row>
    <row r="10" spans="2:31">
      <c r="B10" s="47" t="s">
        <v>3</v>
      </c>
      <c r="C10" s="24">
        <f t="shared" ref="C10:C52" si="0">E10*D10</f>
        <v>14959308.444926923</v>
      </c>
      <c r="D10" s="25">
        <v>9.8099235800000004E-2</v>
      </c>
      <c r="E10" s="26">
        <v>152491590</v>
      </c>
      <c r="F10" s="207">
        <v>9.8099235800000004E-2</v>
      </c>
      <c r="G10" s="30">
        <f t="shared" ref="G10:G52" si="1">E10*F10</f>
        <v>14959308.444926923</v>
      </c>
      <c r="H10" s="27"/>
      <c r="I10" s="27"/>
      <c r="J10" s="65" t="s">
        <v>3</v>
      </c>
      <c r="K10" s="56">
        <v>1287696.5060271928</v>
      </c>
      <c r="L10" s="56">
        <v>1200000</v>
      </c>
      <c r="M10" s="307" t="b">
        <v>0</v>
      </c>
      <c r="N10" s="56">
        <f t="shared" ref="N10:N52" si="2">K10+MAX(L10-K10,0)</f>
        <v>1287696.5060271928</v>
      </c>
      <c r="O10" s="23"/>
      <c r="P10" s="18" t="s">
        <v>112</v>
      </c>
      <c r="Q10" s="23"/>
      <c r="R10" s="23"/>
      <c r="S10" s="30">
        <f>SUMIF(M9:M52,"falsk",K9:K52)</f>
        <v>24103380.041319966</v>
      </c>
      <c r="T10" s="23"/>
      <c r="U10" s="71" t="s">
        <v>3</v>
      </c>
      <c r="V10" s="26">
        <v>387878.6649991342</v>
      </c>
      <c r="W10" s="26">
        <v>1740000</v>
      </c>
      <c r="X10" s="23" t="b">
        <v>1</v>
      </c>
      <c r="Y10" s="23"/>
      <c r="Z10" s="23"/>
      <c r="AA10" s="23"/>
      <c r="AB10" s="23"/>
      <c r="AC10" s="23"/>
      <c r="AD10" s="28" t="s">
        <v>122</v>
      </c>
      <c r="AE10" s="23"/>
    </row>
    <row r="11" spans="2:31">
      <c r="B11" s="47" t="s">
        <v>36</v>
      </c>
      <c r="C11" s="24">
        <f t="shared" si="0"/>
        <v>1231864.902273176</v>
      </c>
      <c r="D11" s="25">
        <v>6.0854072000000002E-2</v>
      </c>
      <c r="E11" s="26">
        <v>20242933</v>
      </c>
      <c r="F11" s="207">
        <v>6.0854072000000002E-2</v>
      </c>
      <c r="G11" s="30">
        <f t="shared" si="1"/>
        <v>1231864.902273176</v>
      </c>
      <c r="H11" s="27"/>
      <c r="I11" s="27"/>
      <c r="J11" s="66" t="s">
        <v>36</v>
      </c>
      <c r="K11" s="56">
        <v>178442.61193200131</v>
      </c>
      <c r="L11" s="56">
        <v>90000</v>
      </c>
      <c r="M11" s="307" t="b">
        <v>0</v>
      </c>
      <c r="N11" s="56">
        <f>K11+MAX(L11-K11,0)</f>
        <v>178442.61193200131</v>
      </c>
      <c r="O11" s="23"/>
      <c r="P11" s="31" t="s">
        <v>123</v>
      </c>
      <c r="Q11" s="32"/>
      <c r="R11" s="32"/>
      <c r="S11" s="33">
        <f>SUMIF(M9:M52,"sand",L9:L52)</f>
        <v>44780000</v>
      </c>
      <c r="T11" s="23"/>
      <c r="U11" s="71" t="s">
        <v>36</v>
      </c>
      <c r="V11" s="26">
        <v>53750.306668675265</v>
      </c>
      <c r="W11" s="26">
        <v>20000</v>
      </c>
      <c r="X11" s="23" t="b">
        <v>0</v>
      </c>
      <c r="Y11" s="23"/>
      <c r="Z11" s="23"/>
      <c r="AA11" s="18" t="s">
        <v>111</v>
      </c>
      <c r="AB11" s="18"/>
      <c r="AC11" s="23"/>
      <c r="AD11" s="30">
        <f>SUMIF(X9:X52,"falsk",V9:V52)</f>
        <v>4067974.8348330092</v>
      </c>
      <c r="AE11" s="23"/>
    </row>
    <row r="12" spans="2:31">
      <c r="B12" s="47" t="s">
        <v>38</v>
      </c>
      <c r="C12" s="24">
        <f t="shared" si="0"/>
        <v>0</v>
      </c>
      <c r="D12" s="25">
        <v>0</v>
      </c>
      <c r="E12" s="26">
        <v>22797536</v>
      </c>
      <c r="F12" s="207">
        <v>0</v>
      </c>
      <c r="G12" s="30">
        <f t="shared" si="1"/>
        <v>0</v>
      </c>
      <c r="H12" s="27"/>
      <c r="I12" s="27"/>
      <c r="J12" s="66" t="s">
        <v>38</v>
      </c>
      <c r="K12" s="56">
        <v>238266.32591957701</v>
      </c>
      <c r="L12" s="56">
        <v>0</v>
      </c>
      <c r="M12" s="57" t="b">
        <v>0</v>
      </c>
      <c r="N12" s="56">
        <f t="shared" si="2"/>
        <v>238266.32591957701</v>
      </c>
      <c r="O12" s="23"/>
      <c r="P12" s="18" t="s">
        <v>141</v>
      </c>
      <c r="Q12" s="23"/>
      <c r="R12" s="23"/>
      <c r="S12" s="30">
        <f>SUM(S10:S11)</f>
        <v>68883380.041319966</v>
      </c>
      <c r="T12" s="23"/>
      <c r="U12" s="71" t="s">
        <v>38</v>
      </c>
      <c r="V12" s="26">
        <v>71770.346490310869</v>
      </c>
      <c r="W12" s="26">
        <v>0</v>
      </c>
      <c r="X12" s="23" t="b">
        <v>0</v>
      </c>
      <c r="Y12" s="23"/>
      <c r="Z12" s="23"/>
      <c r="AA12" s="31" t="s">
        <v>83</v>
      </c>
      <c r="AB12" s="31"/>
      <c r="AC12" s="32"/>
      <c r="AD12" s="33">
        <f>SUMIF(X9:X52,"sand",W9:W52)</f>
        <v>53610000</v>
      </c>
      <c r="AE12" s="23"/>
    </row>
    <row r="13" spans="2:31">
      <c r="B13" s="47" t="s">
        <v>4</v>
      </c>
      <c r="C13" s="24">
        <f t="shared" si="0"/>
        <v>55949794.95879297</v>
      </c>
      <c r="D13" s="25">
        <v>0.1106425415</v>
      </c>
      <c r="E13" s="26">
        <v>505680674</v>
      </c>
      <c r="F13" s="207">
        <v>0.1106425415</v>
      </c>
      <c r="G13" s="30">
        <f t="shared" si="1"/>
        <v>55949794.95879297</v>
      </c>
      <c r="H13" s="27"/>
      <c r="I13" s="27"/>
      <c r="J13" s="66" t="s">
        <v>43</v>
      </c>
      <c r="K13" s="56">
        <v>132555.73006659723</v>
      </c>
      <c r="L13" s="56">
        <v>0</v>
      </c>
      <c r="M13" s="57" t="b">
        <v>0</v>
      </c>
      <c r="N13" s="56">
        <f t="shared" si="2"/>
        <v>132555.73006659723</v>
      </c>
      <c r="O13" s="23"/>
      <c r="P13" s="23"/>
      <c r="Q13" s="23"/>
      <c r="R13" s="23"/>
      <c r="S13" s="29"/>
      <c r="T13" s="23"/>
      <c r="U13" s="71" t="s">
        <v>43</v>
      </c>
      <c r="V13" s="26">
        <v>39928.305602726854</v>
      </c>
      <c r="W13" s="26">
        <v>0</v>
      </c>
      <c r="X13" s="23" t="b">
        <v>0</v>
      </c>
      <c r="Y13" s="23"/>
      <c r="Z13" s="23"/>
      <c r="AA13" s="23"/>
      <c r="AB13" s="23"/>
      <c r="AC13" s="23"/>
      <c r="AD13" s="29"/>
      <c r="AE13" s="23"/>
    </row>
    <row r="14" spans="2:31">
      <c r="B14" s="47" t="s">
        <v>5</v>
      </c>
      <c r="C14" s="24">
        <f t="shared" si="0"/>
        <v>4711506.9358393792</v>
      </c>
      <c r="D14" s="25">
        <v>0.10824444530000001</v>
      </c>
      <c r="E14" s="26">
        <v>43526547</v>
      </c>
      <c r="F14" s="207">
        <v>0.10824444530000001</v>
      </c>
      <c r="G14" s="30">
        <f t="shared" si="1"/>
        <v>4711506.9358393792</v>
      </c>
      <c r="H14" s="27"/>
      <c r="I14" s="27"/>
      <c r="J14" s="66" t="s">
        <v>35</v>
      </c>
      <c r="K14" s="56">
        <v>5210.1473880561134</v>
      </c>
      <c r="L14" s="56">
        <v>0</v>
      </c>
      <c r="M14" s="57" t="b">
        <v>0</v>
      </c>
      <c r="N14" s="56">
        <f t="shared" si="2"/>
        <v>5210.1473880561134</v>
      </c>
      <c r="O14" s="23"/>
      <c r="P14" s="23"/>
      <c r="Q14" s="23"/>
      <c r="R14" s="23"/>
      <c r="S14" s="29"/>
      <c r="T14" s="23"/>
      <c r="U14" s="71" t="s">
        <v>35</v>
      </c>
      <c r="V14" s="26">
        <v>1569.3954311974001</v>
      </c>
      <c r="W14" s="26">
        <v>0</v>
      </c>
      <c r="X14" s="23" t="b">
        <v>0</v>
      </c>
      <c r="Y14" s="23"/>
      <c r="Z14" s="23"/>
      <c r="AA14" s="23"/>
      <c r="AB14" s="23"/>
      <c r="AC14" s="23"/>
      <c r="AD14" s="29"/>
      <c r="AE14" s="23"/>
    </row>
    <row r="15" spans="2:31">
      <c r="B15" s="47" t="s">
        <v>41</v>
      </c>
      <c r="C15" s="24">
        <f t="shared" si="0"/>
        <v>2270894.1599999997</v>
      </c>
      <c r="D15" s="25">
        <v>0.24</v>
      </c>
      <c r="E15" s="26">
        <v>9462059</v>
      </c>
      <c r="F15" s="207">
        <v>0.28594264629999999</v>
      </c>
      <c r="G15" s="30">
        <f t="shared" si="1"/>
        <v>2705606.1899067317</v>
      </c>
      <c r="H15" s="27"/>
      <c r="I15" s="27"/>
      <c r="J15" s="66" t="s">
        <v>44</v>
      </c>
      <c r="K15" s="56">
        <v>420078.34567499469</v>
      </c>
      <c r="L15" s="56">
        <v>0</v>
      </c>
      <c r="M15" s="57" t="b">
        <v>0</v>
      </c>
      <c r="N15" s="56">
        <f t="shared" si="2"/>
        <v>420078.34567499469</v>
      </c>
      <c r="O15" s="23"/>
      <c r="P15" s="18" t="s">
        <v>84</v>
      </c>
      <c r="Q15" s="18"/>
      <c r="R15" s="18"/>
      <c r="S15" s="30">
        <f>C53</f>
        <v>652035459.94190156</v>
      </c>
      <c r="T15" s="23"/>
      <c r="U15" s="71" t="s">
        <v>44</v>
      </c>
      <c r="V15" s="26">
        <v>126535.5828433233</v>
      </c>
      <c r="W15" s="26">
        <v>80000</v>
      </c>
      <c r="X15" s="23" t="b">
        <v>0</v>
      </c>
      <c r="Y15" s="23"/>
      <c r="Z15" s="23"/>
      <c r="AA15" s="23"/>
      <c r="AB15" s="23"/>
      <c r="AC15" s="23"/>
      <c r="AD15" s="29"/>
      <c r="AE15" s="23"/>
    </row>
    <row r="16" spans="2:31">
      <c r="B16" s="47" t="s">
        <v>31</v>
      </c>
      <c r="C16" s="24">
        <f t="shared" si="0"/>
        <v>1058701.0549581717</v>
      </c>
      <c r="D16" s="25">
        <v>0.1214363374</v>
      </c>
      <c r="E16" s="26">
        <v>8718157</v>
      </c>
      <c r="F16" s="207">
        <v>0.1214363374</v>
      </c>
      <c r="G16" s="30">
        <f t="shared" si="1"/>
        <v>1058701.0549581717</v>
      </c>
      <c r="H16" s="27"/>
      <c r="I16" s="27"/>
      <c r="J16" s="66" t="s">
        <v>40</v>
      </c>
      <c r="K16" s="56">
        <v>531081.29099498072</v>
      </c>
      <c r="L16" s="56">
        <v>1290000</v>
      </c>
      <c r="M16" s="57" t="b">
        <v>1</v>
      </c>
      <c r="N16" s="56">
        <f t="shared" si="2"/>
        <v>1290000</v>
      </c>
      <c r="O16" s="23"/>
      <c r="P16" s="23" t="s">
        <v>113</v>
      </c>
      <c r="Q16" s="23"/>
      <c r="R16" s="23"/>
      <c r="S16" s="30">
        <f>S15-AD12</f>
        <v>598425459.94190156</v>
      </c>
      <c r="T16" s="23"/>
      <c r="U16" s="71" t="s">
        <v>40</v>
      </c>
      <c r="V16" s="26">
        <v>159971.77999083561</v>
      </c>
      <c r="W16" s="26">
        <v>1240000</v>
      </c>
      <c r="X16" s="26" t="b">
        <v>1</v>
      </c>
      <c r="Y16" s="23"/>
      <c r="Z16" s="23"/>
      <c r="AA16" s="23"/>
      <c r="AB16" s="23"/>
      <c r="AC16" s="23"/>
      <c r="AD16" s="29"/>
      <c r="AE16" s="23"/>
    </row>
    <row r="17" spans="2:31">
      <c r="B17" s="47" t="s">
        <v>6</v>
      </c>
      <c r="C17" s="24">
        <f t="shared" si="0"/>
        <v>0</v>
      </c>
      <c r="D17" s="25">
        <v>0</v>
      </c>
      <c r="E17" s="26">
        <v>4035103</v>
      </c>
      <c r="F17" s="207">
        <v>0</v>
      </c>
      <c r="G17" s="30">
        <f t="shared" si="1"/>
        <v>0</v>
      </c>
      <c r="H17" s="27"/>
      <c r="I17" s="27"/>
      <c r="J17" s="66" t="s">
        <v>4</v>
      </c>
      <c r="K17" s="56">
        <v>5539577.0500951912</v>
      </c>
      <c r="L17" s="56">
        <v>4490000</v>
      </c>
      <c r="M17" s="307" t="b">
        <v>0</v>
      </c>
      <c r="N17" s="56">
        <f t="shared" si="2"/>
        <v>5539577.0500951912</v>
      </c>
      <c r="O17" s="23"/>
      <c r="P17" s="23" t="s">
        <v>119</v>
      </c>
      <c r="Q17" s="23"/>
      <c r="R17" s="23"/>
      <c r="S17" s="30">
        <f>S15-(C11+C10+C13+C16+C21+C33+C34+C39+C48)</f>
        <v>558605444.31727648</v>
      </c>
      <c r="T17" s="23"/>
      <c r="U17" s="71" t="s">
        <v>4</v>
      </c>
      <c r="V17" s="26">
        <v>1668625.9074196734</v>
      </c>
      <c r="W17" s="26">
        <v>3460000</v>
      </c>
      <c r="X17" s="26" t="b">
        <v>1</v>
      </c>
      <c r="Y17" s="23"/>
      <c r="Z17" s="26"/>
      <c r="AA17" s="24"/>
      <c r="AB17" s="23"/>
      <c r="AC17" s="23"/>
      <c r="AD17" s="29"/>
      <c r="AE17" s="23"/>
    </row>
    <row r="18" spans="2:31">
      <c r="B18" s="47" t="s">
        <v>43</v>
      </c>
      <c r="C18" s="24">
        <f t="shared" si="0"/>
        <v>0</v>
      </c>
      <c r="D18" s="25">
        <v>0</v>
      </c>
      <c r="E18" s="26">
        <v>15967644</v>
      </c>
      <c r="F18" s="207">
        <v>0</v>
      </c>
      <c r="G18" s="30">
        <f t="shared" si="1"/>
        <v>0</v>
      </c>
      <c r="H18" s="27"/>
      <c r="I18" s="27"/>
      <c r="J18" s="66" t="s">
        <v>5</v>
      </c>
      <c r="K18" s="56">
        <v>335075.1746567848</v>
      </c>
      <c r="L18" s="56">
        <v>370000</v>
      </c>
      <c r="M18" s="57" t="b">
        <v>1</v>
      </c>
      <c r="N18" s="56">
        <f t="shared" si="2"/>
        <v>370000</v>
      </c>
      <c r="O18" s="23"/>
      <c r="P18" s="23"/>
      <c r="Q18" s="23"/>
      <c r="R18" s="23"/>
      <c r="S18" s="30"/>
      <c r="T18" s="23"/>
      <c r="U18" s="71" t="s">
        <v>5</v>
      </c>
      <c r="V18" s="26">
        <v>100931.01193634894</v>
      </c>
      <c r="W18" s="26">
        <v>250000</v>
      </c>
      <c r="X18" s="26" t="b">
        <v>1</v>
      </c>
      <c r="Y18" s="23"/>
      <c r="Z18" s="26"/>
      <c r="AA18" s="24"/>
      <c r="AB18" s="23"/>
      <c r="AC18" s="23"/>
      <c r="AD18" s="29"/>
      <c r="AE18" s="23"/>
    </row>
    <row r="19" spans="2:31">
      <c r="B19" s="47" t="s">
        <v>7</v>
      </c>
      <c r="C19" s="24">
        <f t="shared" si="0"/>
        <v>0</v>
      </c>
      <c r="D19" s="25">
        <v>0</v>
      </c>
      <c r="E19" s="26">
        <v>1767357</v>
      </c>
      <c r="F19" s="207">
        <v>0</v>
      </c>
      <c r="G19" s="30">
        <f t="shared" si="1"/>
        <v>0</v>
      </c>
      <c r="H19" s="27"/>
      <c r="I19" s="27"/>
      <c r="J19" s="66" t="s">
        <v>41</v>
      </c>
      <c r="K19" s="56">
        <v>67986.351421640735</v>
      </c>
      <c r="L19" s="56">
        <v>180000</v>
      </c>
      <c r="M19" s="57" t="b">
        <v>1</v>
      </c>
      <c r="N19" s="56">
        <f t="shared" si="2"/>
        <v>180000</v>
      </c>
      <c r="O19" s="23"/>
      <c r="P19" s="34" t="s">
        <v>135</v>
      </c>
      <c r="Q19" s="35"/>
      <c r="R19" s="35"/>
      <c r="S19" s="36">
        <f>S17</f>
        <v>558605444.31727648</v>
      </c>
      <c r="T19" s="23"/>
      <c r="U19" s="71" t="s">
        <v>41</v>
      </c>
      <c r="V19" s="26">
        <v>20478.781377567171</v>
      </c>
      <c r="W19" s="26">
        <v>170000</v>
      </c>
      <c r="X19" s="26" t="b">
        <v>1</v>
      </c>
      <c r="Y19" s="23"/>
      <c r="Z19" s="26"/>
      <c r="AA19" s="24"/>
      <c r="AB19" s="23"/>
      <c r="AC19" s="23"/>
      <c r="AD19" s="29"/>
      <c r="AE19" s="23"/>
    </row>
    <row r="20" spans="2:31">
      <c r="B20" s="47" t="s">
        <v>8</v>
      </c>
      <c r="C20" s="24">
        <f t="shared" si="0"/>
        <v>0</v>
      </c>
      <c r="D20" s="25">
        <v>0</v>
      </c>
      <c r="E20" s="26">
        <v>3439733</v>
      </c>
      <c r="F20" s="207">
        <v>0</v>
      </c>
      <c r="G20" s="30">
        <f t="shared" si="1"/>
        <v>0</v>
      </c>
      <c r="H20" s="27"/>
      <c r="I20" s="27"/>
      <c r="J20" s="66" t="s">
        <v>31</v>
      </c>
      <c r="K20" s="56">
        <v>82474.363350124666</v>
      </c>
      <c r="L20" s="56">
        <v>80000</v>
      </c>
      <c r="M20" s="307" t="b">
        <v>0</v>
      </c>
      <c r="N20" s="56">
        <f t="shared" si="2"/>
        <v>82474.363350124666</v>
      </c>
      <c r="O20" s="23"/>
      <c r="P20" s="23"/>
      <c r="Q20" s="23"/>
      <c r="R20" s="23"/>
      <c r="S20" s="30"/>
      <c r="T20" s="23"/>
      <c r="U20" s="71" t="s">
        <v>31</v>
      </c>
      <c r="V20" s="26">
        <v>24842.845968104495</v>
      </c>
      <c r="W20" s="26">
        <v>20000</v>
      </c>
      <c r="X20" s="26" t="b">
        <v>0</v>
      </c>
      <c r="Y20" s="23"/>
      <c r="Z20" s="26"/>
      <c r="AA20" s="24"/>
      <c r="AB20" s="23"/>
      <c r="AC20" s="23"/>
      <c r="AD20" s="29"/>
      <c r="AE20" s="23"/>
    </row>
    <row r="21" spans="2:31">
      <c r="B21" s="47" t="s">
        <v>33</v>
      </c>
      <c r="C21" s="24">
        <f t="shared" si="0"/>
        <v>516826.59669569181</v>
      </c>
      <c r="D21" s="25">
        <v>4.3414028200000003E-2</v>
      </c>
      <c r="E21" s="26">
        <v>11904599</v>
      </c>
      <c r="F21" s="207">
        <v>4.3414028200000003E-2</v>
      </c>
      <c r="G21" s="30">
        <f t="shared" si="1"/>
        <v>516826.59669569181</v>
      </c>
      <c r="H21" s="27"/>
      <c r="I21" s="27"/>
      <c r="J21" s="66" t="s">
        <v>6</v>
      </c>
      <c r="K21" s="56">
        <v>44747.794096556536</v>
      </c>
      <c r="L21" s="56">
        <v>0</v>
      </c>
      <c r="M21" s="57" t="b">
        <v>0</v>
      </c>
      <c r="N21" s="56">
        <f t="shared" si="2"/>
        <v>44747.794096556536</v>
      </c>
      <c r="O21" s="23"/>
      <c r="P21" s="18"/>
      <c r="Q21" s="23"/>
      <c r="R21" s="23"/>
      <c r="S21" s="30"/>
      <c r="T21" s="23"/>
      <c r="U21" s="71" t="s">
        <v>6</v>
      </c>
      <c r="V21" s="26">
        <v>13478.88617744061</v>
      </c>
      <c r="W21" s="26">
        <v>0</v>
      </c>
      <c r="X21" s="23" t="b">
        <v>0</v>
      </c>
      <c r="Y21" s="23"/>
      <c r="Z21" s="23"/>
      <c r="AA21" s="23"/>
      <c r="AB21" s="23"/>
      <c r="AC21" s="23"/>
      <c r="AD21" s="29"/>
      <c r="AE21" s="23"/>
    </row>
    <row r="22" spans="2:31">
      <c r="B22" s="47" t="s">
        <v>9</v>
      </c>
      <c r="C22" s="24">
        <f t="shared" si="0"/>
        <v>276483.34352413396</v>
      </c>
      <c r="D22" s="25">
        <v>0.16345018519999999</v>
      </c>
      <c r="E22" s="26">
        <v>1691545</v>
      </c>
      <c r="F22" s="207">
        <v>0.16345018519999999</v>
      </c>
      <c r="G22" s="30">
        <f t="shared" si="1"/>
        <v>276483.34352413396</v>
      </c>
      <c r="H22" s="27"/>
      <c r="I22" s="27"/>
      <c r="J22" s="66" t="s">
        <v>7</v>
      </c>
      <c r="K22" s="56">
        <v>17033.903036293352</v>
      </c>
      <c r="L22" s="56">
        <v>0</v>
      </c>
      <c r="M22" s="57" t="b">
        <v>0</v>
      </c>
      <c r="N22" s="56">
        <f t="shared" si="2"/>
        <v>17033.903036293352</v>
      </c>
      <c r="O22" s="23"/>
      <c r="P22" s="23"/>
      <c r="Q22" s="23"/>
      <c r="R22" s="23"/>
      <c r="S22" s="29"/>
      <c r="T22" s="23"/>
      <c r="U22" s="71" t="s">
        <v>7</v>
      </c>
      <c r="V22" s="26">
        <v>5130.9353861853542</v>
      </c>
      <c r="W22" s="26">
        <v>0</v>
      </c>
      <c r="X22" s="23" t="b">
        <v>0</v>
      </c>
      <c r="Y22" s="23"/>
      <c r="Z22" s="23"/>
      <c r="AA22" s="23"/>
      <c r="AB22" s="23"/>
      <c r="AC22" s="23"/>
      <c r="AD22" s="29"/>
      <c r="AE22" s="23"/>
    </row>
    <row r="23" spans="2:31">
      <c r="B23" s="47" t="s">
        <v>10</v>
      </c>
      <c r="C23" s="24">
        <f t="shared" si="0"/>
        <v>0</v>
      </c>
      <c r="D23" s="25">
        <v>0</v>
      </c>
      <c r="E23" s="26">
        <v>3237879</v>
      </c>
      <c r="F23" s="207">
        <v>0</v>
      </c>
      <c r="G23" s="30">
        <f t="shared" si="1"/>
        <v>0</v>
      </c>
      <c r="H23" s="27"/>
      <c r="I23" s="27"/>
      <c r="J23" s="66" t="s">
        <v>8</v>
      </c>
      <c r="K23" s="56">
        <v>32504.167723717113</v>
      </c>
      <c r="L23" s="56">
        <v>0</v>
      </c>
      <c r="M23" s="57" t="b">
        <v>0</v>
      </c>
      <c r="N23" s="56">
        <f t="shared" si="2"/>
        <v>32504.167723717113</v>
      </c>
      <c r="O23" s="23"/>
      <c r="P23" s="23" t="s">
        <v>120</v>
      </c>
      <c r="Q23" s="23"/>
      <c r="R23" s="23"/>
      <c r="S23" s="29"/>
      <c r="T23" s="23"/>
      <c r="U23" s="71" t="s">
        <v>8</v>
      </c>
      <c r="V23" s="26">
        <v>9790.8892775657296</v>
      </c>
      <c r="W23" s="26">
        <v>0</v>
      </c>
      <c r="X23" s="23" t="b">
        <v>0</v>
      </c>
      <c r="Y23" s="23"/>
      <c r="Z23" s="23"/>
      <c r="AA23" s="23"/>
      <c r="AB23" s="23"/>
      <c r="AC23" s="23"/>
      <c r="AD23" s="29"/>
      <c r="AE23" s="23"/>
    </row>
    <row r="24" spans="2:31">
      <c r="B24" s="47" t="s">
        <v>35</v>
      </c>
      <c r="C24" s="24">
        <f t="shared" si="0"/>
        <v>0</v>
      </c>
      <c r="D24" s="25">
        <v>0</v>
      </c>
      <c r="E24" s="26">
        <v>418983</v>
      </c>
      <c r="F24" s="207">
        <v>0</v>
      </c>
      <c r="G24" s="30">
        <f t="shared" si="1"/>
        <v>0</v>
      </c>
      <c r="H24" s="27"/>
      <c r="I24" s="27"/>
      <c r="J24" s="66" t="s">
        <v>33</v>
      </c>
      <c r="K24" s="56">
        <v>88913.762078373897</v>
      </c>
      <c r="L24" s="56">
        <v>40000</v>
      </c>
      <c r="M24" s="307" t="b">
        <v>0</v>
      </c>
      <c r="N24" s="56">
        <f t="shared" si="2"/>
        <v>88913.762078373897</v>
      </c>
      <c r="O24" s="23"/>
      <c r="P24" s="23" t="s">
        <v>124</v>
      </c>
      <c r="Q24" s="23"/>
      <c r="R24" s="23"/>
      <c r="S24" s="29"/>
      <c r="T24" s="23"/>
      <c r="U24" s="71" t="s">
        <v>33</v>
      </c>
      <c r="V24" s="26">
        <v>26782.515269387575</v>
      </c>
      <c r="W24" s="26">
        <v>30000</v>
      </c>
      <c r="X24" s="23" t="b">
        <v>1</v>
      </c>
      <c r="Y24" s="23"/>
      <c r="Z24" s="23"/>
      <c r="AA24" s="23"/>
      <c r="AB24" s="23"/>
      <c r="AC24" s="23"/>
      <c r="AD24" s="29"/>
      <c r="AE24" s="23"/>
    </row>
    <row r="25" spans="2:31">
      <c r="B25" s="47" t="s">
        <v>11</v>
      </c>
      <c r="C25" s="24">
        <f t="shared" si="0"/>
        <v>0</v>
      </c>
      <c r="D25" s="25">
        <v>0</v>
      </c>
      <c r="E25" s="26">
        <v>272965677</v>
      </c>
      <c r="F25" s="207">
        <v>0</v>
      </c>
      <c r="G25" s="30">
        <f t="shared" si="1"/>
        <v>0</v>
      </c>
      <c r="H25" s="27"/>
      <c r="I25" s="27"/>
      <c r="J25" s="66" t="s">
        <v>9</v>
      </c>
      <c r="K25" s="56">
        <v>12082.905487650663</v>
      </c>
      <c r="L25" s="56">
        <v>20000</v>
      </c>
      <c r="M25" s="57" t="b">
        <v>1</v>
      </c>
      <c r="N25" s="56">
        <f t="shared" si="2"/>
        <v>20000</v>
      </c>
      <c r="O25" s="23"/>
      <c r="P25" s="23" t="s">
        <v>155</v>
      </c>
      <c r="Q25" s="23"/>
      <c r="R25" s="23"/>
      <c r="S25" s="24">
        <f>C11+C10+C13+C16+C21+C33+C34+C39+C48</f>
        <v>93430015.624625087</v>
      </c>
      <c r="T25" s="23"/>
      <c r="U25" s="71" t="s">
        <v>9</v>
      </c>
      <c r="V25" s="26">
        <v>3639.6008127101991</v>
      </c>
      <c r="W25" s="26">
        <v>30000</v>
      </c>
      <c r="X25" s="23" t="b">
        <v>1</v>
      </c>
      <c r="Y25" s="23"/>
      <c r="Z25" s="23"/>
      <c r="AA25" s="23"/>
      <c r="AB25" s="23"/>
      <c r="AC25" s="23"/>
      <c r="AD25" s="29"/>
      <c r="AE25" s="23"/>
    </row>
    <row r="26" spans="2:31">
      <c r="B26" s="47" t="s">
        <v>12</v>
      </c>
      <c r="C26" s="24">
        <f t="shared" si="0"/>
        <v>1282310.3999999999</v>
      </c>
      <c r="D26" s="25">
        <v>0.24</v>
      </c>
      <c r="E26" s="26">
        <v>5342960</v>
      </c>
      <c r="F26" s="207">
        <v>0.27591372190000002</v>
      </c>
      <c r="G26" s="30">
        <f t="shared" si="1"/>
        <v>1474195.9795628241</v>
      </c>
      <c r="H26" s="27"/>
      <c r="I26" s="27"/>
      <c r="J26" s="66" t="s">
        <v>10</v>
      </c>
      <c r="K26" s="56">
        <v>32804.73761810072</v>
      </c>
      <c r="L26" s="56">
        <v>0</v>
      </c>
      <c r="M26" s="57" t="b">
        <v>0</v>
      </c>
      <c r="N26" s="56">
        <f t="shared" si="2"/>
        <v>32804.73761810072</v>
      </c>
      <c r="O26" s="23"/>
      <c r="P26" s="18" t="s">
        <v>280</v>
      </c>
      <c r="Q26" s="23"/>
      <c r="R26" s="23"/>
      <c r="S26" s="29"/>
      <c r="T26" s="23"/>
      <c r="U26" s="71" t="s">
        <v>10</v>
      </c>
      <c r="V26" s="26">
        <v>9881.4105446420162</v>
      </c>
      <c r="W26" s="26">
        <v>0</v>
      </c>
      <c r="X26" s="23" t="b">
        <v>0</v>
      </c>
      <c r="Y26" s="23"/>
      <c r="Z26" s="23"/>
      <c r="AA26" s="23"/>
      <c r="AB26" s="23"/>
      <c r="AC26" s="23"/>
      <c r="AD26" s="29"/>
      <c r="AE26" s="23"/>
    </row>
    <row r="27" spans="2:31">
      <c r="B27" s="47" t="s">
        <v>39</v>
      </c>
      <c r="C27" s="24">
        <f t="shared" si="0"/>
        <v>0</v>
      </c>
      <c r="D27" s="25">
        <v>0</v>
      </c>
      <c r="E27" s="26">
        <v>30079144</v>
      </c>
      <c r="F27" s="207">
        <v>0</v>
      </c>
      <c r="G27" s="30">
        <f t="shared" si="1"/>
        <v>0</v>
      </c>
      <c r="H27" s="27"/>
      <c r="I27" s="27"/>
      <c r="J27" s="66" t="s">
        <v>11</v>
      </c>
      <c r="K27" s="56">
        <v>2187103.9538900875</v>
      </c>
      <c r="L27" s="56">
        <v>0</v>
      </c>
      <c r="M27" s="57" t="b">
        <v>0</v>
      </c>
      <c r="N27" s="56">
        <f t="shared" si="2"/>
        <v>2187103.9538900875</v>
      </c>
      <c r="O27" s="23"/>
      <c r="P27" s="23" t="s">
        <v>279</v>
      </c>
      <c r="Q27" s="23"/>
      <c r="R27" s="23"/>
      <c r="S27" s="29"/>
      <c r="T27" s="23"/>
      <c r="U27" s="71" t="s">
        <v>11</v>
      </c>
      <c r="V27" s="26">
        <v>658797.28482489206</v>
      </c>
      <c r="W27" s="26">
        <v>60000</v>
      </c>
      <c r="X27" s="23" t="b">
        <v>0</v>
      </c>
      <c r="Y27" s="23"/>
      <c r="Z27" s="23"/>
      <c r="AA27" s="23"/>
      <c r="AB27" s="23"/>
      <c r="AC27" s="23"/>
      <c r="AD27" s="29"/>
      <c r="AE27" s="23"/>
    </row>
    <row r="28" spans="2:31">
      <c r="B28" s="47" t="s">
        <v>45</v>
      </c>
      <c r="C28" s="24">
        <f t="shared" si="0"/>
        <v>5220160.1438275324</v>
      </c>
      <c r="D28" s="25">
        <v>0.1779655097</v>
      </c>
      <c r="E28" s="26">
        <v>29332426</v>
      </c>
      <c r="F28" s="207">
        <v>0.1779655097</v>
      </c>
      <c r="G28" s="30">
        <f t="shared" si="1"/>
        <v>5220160.1438275324</v>
      </c>
      <c r="H28" s="27"/>
      <c r="I28" s="27"/>
      <c r="J28" s="66" t="s">
        <v>39</v>
      </c>
      <c r="K28" s="56">
        <v>253572.69093681153</v>
      </c>
      <c r="L28" s="56">
        <v>0</v>
      </c>
      <c r="M28" s="57" t="b">
        <v>0</v>
      </c>
      <c r="N28" s="56">
        <f t="shared" si="2"/>
        <v>253572.69093681153</v>
      </c>
      <c r="O28" s="23"/>
      <c r="P28" s="23"/>
      <c r="Q28" s="23"/>
      <c r="R28" s="23"/>
      <c r="S28" s="29"/>
      <c r="T28" s="23"/>
      <c r="U28" s="71" t="s">
        <v>39</v>
      </c>
      <c r="V28" s="26">
        <v>76380.914586974512</v>
      </c>
      <c r="W28" s="26">
        <v>0</v>
      </c>
      <c r="X28" s="23" t="b">
        <v>0</v>
      </c>
      <c r="Y28" s="23"/>
      <c r="Z28" s="23"/>
      <c r="AA28" s="23"/>
      <c r="AB28" s="23"/>
      <c r="AC28" s="23"/>
      <c r="AD28" s="29"/>
      <c r="AE28" s="23"/>
    </row>
    <row r="29" spans="2:31">
      <c r="B29" s="47" t="s">
        <v>13</v>
      </c>
      <c r="C29" s="24">
        <f t="shared" si="0"/>
        <v>0</v>
      </c>
      <c r="D29" s="25">
        <v>0</v>
      </c>
      <c r="E29" s="26">
        <v>5631197</v>
      </c>
      <c r="F29" s="207">
        <v>0</v>
      </c>
      <c r="G29" s="30">
        <f t="shared" si="1"/>
        <v>0</v>
      </c>
      <c r="H29" s="27"/>
      <c r="I29" s="27"/>
      <c r="J29" s="66" t="s">
        <v>12</v>
      </c>
      <c r="K29" s="56">
        <v>32232.322774128301</v>
      </c>
      <c r="L29" s="56">
        <v>100000</v>
      </c>
      <c r="M29" s="57" t="b">
        <v>1</v>
      </c>
      <c r="N29" s="56">
        <f t="shared" si="2"/>
        <v>100000</v>
      </c>
      <c r="O29" s="23"/>
      <c r="Q29" s="23"/>
      <c r="R29" s="23"/>
      <c r="S29" s="29"/>
      <c r="T29" s="23"/>
      <c r="U29" s="71" t="s">
        <v>12</v>
      </c>
      <c r="V29" s="26">
        <v>9708.9891636958891</v>
      </c>
      <c r="W29" s="26">
        <v>90000</v>
      </c>
      <c r="X29" s="23" t="b">
        <v>1</v>
      </c>
      <c r="Y29" s="23"/>
      <c r="Z29" s="23"/>
      <c r="AA29" s="23"/>
      <c r="AB29" s="23"/>
      <c r="AC29" s="23"/>
      <c r="AD29" s="29"/>
    </row>
    <row r="30" spans="2:31">
      <c r="B30" s="47" t="s">
        <v>14</v>
      </c>
      <c r="C30" s="24">
        <f t="shared" si="0"/>
        <v>0</v>
      </c>
      <c r="D30" s="25">
        <v>0</v>
      </c>
      <c r="E30" s="26">
        <v>592746521</v>
      </c>
      <c r="F30" s="207">
        <v>0</v>
      </c>
      <c r="G30" s="30">
        <f t="shared" si="1"/>
        <v>0</v>
      </c>
      <c r="H30" s="27"/>
      <c r="I30" s="27"/>
      <c r="J30" s="66" t="s">
        <v>13</v>
      </c>
      <c r="K30" s="56">
        <v>64258.154644065718</v>
      </c>
      <c r="L30" s="56">
        <v>0</v>
      </c>
      <c r="M30" s="57" t="b">
        <v>0</v>
      </c>
      <c r="N30" s="56">
        <f t="shared" si="2"/>
        <v>64258.154644065718</v>
      </c>
      <c r="O30" s="23"/>
      <c r="P30" s="23"/>
      <c r="Q30" s="23"/>
      <c r="R30" s="23"/>
      <c r="S30" s="29"/>
      <c r="T30" s="23"/>
      <c r="U30" s="71" t="s">
        <v>13</v>
      </c>
      <c r="V30" s="26">
        <v>19355.777640140459</v>
      </c>
      <c r="W30" s="26">
        <v>0</v>
      </c>
      <c r="X30" s="23" t="b">
        <v>0</v>
      </c>
      <c r="Y30" s="23"/>
      <c r="Z30" s="23"/>
      <c r="AA30" s="23"/>
      <c r="AB30" s="23"/>
      <c r="AC30" s="23"/>
      <c r="AD30" s="29"/>
    </row>
    <row r="31" spans="2:31">
      <c r="B31" s="47" t="s">
        <v>15</v>
      </c>
      <c r="C31" s="24">
        <f t="shared" si="0"/>
        <v>1990125.6177854859</v>
      </c>
      <c r="D31" s="25">
        <v>0.17530689699999999</v>
      </c>
      <c r="E31" s="26">
        <v>11352238</v>
      </c>
      <c r="F31" s="207">
        <v>0.17530689699999999</v>
      </c>
      <c r="G31" s="30">
        <f t="shared" si="1"/>
        <v>1990125.6177854859</v>
      </c>
      <c r="H31" s="27"/>
      <c r="I31" s="27"/>
      <c r="J31" s="66" t="s">
        <v>14</v>
      </c>
      <c r="K31" s="56">
        <v>5553994.7078446941</v>
      </c>
      <c r="L31" s="56">
        <v>0</v>
      </c>
      <c r="M31" s="57" t="b">
        <v>0</v>
      </c>
      <c r="N31" s="56">
        <f t="shared" si="2"/>
        <v>5553994.7078446941</v>
      </c>
      <c r="O31" s="23"/>
      <c r="P31" s="23"/>
      <c r="Q31" s="23"/>
      <c r="R31" s="23"/>
      <c r="S31" s="29"/>
      <c r="T31" s="23"/>
      <c r="U31" s="71" t="s">
        <v>14</v>
      </c>
      <c r="V31" s="26">
        <v>1672968.779994162</v>
      </c>
      <c r="W31" s="26">
        <v>490000</v>
      </c>
      <c r="X31" s="23" t="b">
        <v>0</v>
      </c>
      <c r="Y31" s="23"/>
      <c r="Z31" s="23"/>
      <c r="AA31" s="23"/>
      <c r="AB31" s="23"/>
      <c r="AC31" s="23"/>
      <c r="AD31" s="29"/>
    </row>
    <row r="32" spans="2:31">
      <c r="B32" s="47" t="s">
        <v>34</v>
      </c>
      <c r="C32" s="24">
        <f t="shared" si="0"/>
        <v>2887550.4042221564</v>
      </c>
      <c r="D32" s="25">
        <v>0.16352558079999999</v>
      </c>
      <c r="E32" s="26">
        <v>17658096</v>
      </c>
      <c r="F32" s="207">
        <v>0.16352558079999999</v>
      </c>
      <c r="G32" s="30">
        <f t="shared" si="1"/>
        <v>2887550.4042221564</v>
      </c>
      <c r="H32" s="27"/>
      <c r="I32" s="27"/>
      <c r="J32" s="66" t="s">
        <v>15</v>
      </c>
      <c r="K32" s="56">
        <v>78510.165239320588</v>
      </c>
      <c r="L32" s="56">
        <v>150000</v>
      </c>
      <c r="M32" s="57" t="b">
        <v>1</v>
      </c>
      <c r="N32" s="56">
        <f t="shared" si="2"/>
        <v>150000</v>
      </c>
      <c r="O32" s="23"/>
      <c r="P32" s="23"/>
      <c r="Q32" s="23"/>
      <c r="R32" s="23"/>
      <c r="S32" s="29"/>
      <c r="T32" s="23"/>
      <c r="U32" s="71" t="s">
        <v>15</v>
      </c>
      <c r="V32" s="26">
        <v>23648.754143040307</v>
      </c>
      <c r="W32" s="26">
        <v>210000</v>
      </c>
      <c r="X32" s="23" t="b">
        <v>1</v>
      </c>
      <c r="Y32" s="23"/>
      <c r="Z32" s="23"/>
      <c r="AA32" s="23"/>
      <c r="AB32" s="23"/>
      <c r="AC32" s="23"/>
      <c r="AD32" s="29"/>
    </row>
    <row r="33" spans="1:30">
      <c r="B33" s="47" t="s">
        <v>16</v>
      </c>
      <c r="C33" s="24">
        <f t="shared" si="0"/>
        <v>2443916.8689331496</v>
      </c>
      <c r="D33" s="25">
        <v>4.0071725400000001E-2</v>
      </c>
      <c r="E33" s="26">
        <v>60988561</v>
      </c>
      <c r="F33" s="207">
        <v>4.0071725400000001E-2</v>
      </c>
      <c r="G33" s="30">
        <f t="shared" si="1"/>
        <v>2443916.8689331496</v>
      </c>
      <c r="H33" s="27"/>
      <c r="I33" s="27"/>
      <c r="J33" s="66" t="s">
        <v>45</v>
      </c>
      <c r="K33" s="56">
        <v>231008.36840181219</v>
      </c>
      <c r="L33" s="56">
        <v>410000</v>
      </c>
      <c r="M33" s="57" t="b">
        <v>1</v>
      </c>
      <c r="N33" s="56">
        <f t="shared" si="2"/>
        <v>410000</v>
      </c>
      <c r="O33" s="23"/>
      <c r="P33" s="23"/>
      <c r="Q33" s="23"/>
      <c r="R33" s="23"/>
      <c r="S33" s="29"/>
      <c r="T33" s="23"/>
      <c r="U33" s="71" t="s">
        <v>45</v>
      </c>
      <c r="V33" s="26">
        <v>69584.111721920694</v>
      </c>
      <c r="W33" s="26">
        <v>490000</v>
      </c>
      <c r="X33" s="23" t="b">
        <v>1</v>
      </c>
      <c r="Y33" s="23"/>
      <c r="Z33" s="23"/>
      <c r="AA33" s="23"/>
      <c r="AB33" s="23"/>
      <c r="AC33" s="23"/>
      <c r="AD33" s="29"/>
    </row>
    <row r="34" spans="1:30">
      <c r="B34" s="47" t="s">
        <v>17</v>
      </c>
      <c r="C34" s="24">
        <f t="shared" si="0"/>
        <v>15325762.933688626</v>
      </c>
      <c r="D34" s="25">
        <v>0.11486489850000001</v>
      </c>
      <c r="E34" s="26">
        <v>133424250</v>
      </c>
      <c r="F34" s="207">
        <v>0.11486489850000001</v>
      </c>
      <c r="G34" s="30">
        <f t="shared" si="1"/>
        <v>15325762.933688626</v>
      </c>
      <c r="H34" s="27"/>
      <c r="I34" s="27"/>
      <c r="J34" s="66" t="s">
        <v>34</v>
      </c>
      <c r="K34" s="56">
        <v>186519.43040951929</v>
      </c>
      <c r="L34" s="56">
        <v>230000</v>
      </c>
      <c r="M34" s="57" t="b">
        <v>1</v>
      </c>
      <c r="N34" s="56">
        <f t="shared" si="2"/>
        <v>230000</v>
      </c>
      <c r="O34" s="23"/>
      <c r="P34" s="23"/>
      <c r="Q34" s="23"/>
      <c r="R34" s="23"/>
      <c r="S34" s="29"/>
      <c r="T34" s="23"/>
      <c r="U34" s="71" t="s">
        <v>34</v>
      </c>
      <c r="V34" s="23">
        <v>56183.19792359171</v>
      </c>
      <c r="W34" s="23">
        <v>150000</v>
      </c>
      <c r="X34" s="23" t="b">
        <v>1</v>
      </c>
      <c r="Y34" s="23"/>
      <c r="Z34" s="23"/>
      <c r="AA34" s="23"/>
      <c r="AB34" s="23"/>
      <c r="AC34" s="23"/>
      <c r="AD34" s="29"/>
    </row>
    <row r="35" spans="1:30" s="5" customFormat="1" ht="14.4">
      <c r="A35" s="15"/>
      <c r="B35" s="47" t="s">
        <v>40</v>
      </c>
      <c r="C35" s="24">
        <f t="shared" si="0"/>
        <v>16126890</v>
      </c>
      <c r="D35" s="25">
        <v>0.24</v>
      </c>
      <c r="E35" s="26">
        <v>67195375</v>
      </c>
      <c r="F35" s="207">
        <v>0.3552258908</v>
      </c>
      <c r="G35" s="30">
        <f t="shared" si="1"/>
        <v>23869536.942015048</v>
      </c>
      <c r="H35" s="27"/>
      <c r="I35" s="27"/>
      <c r="J35" s="66" t="s">
        <v>16</v>
      </c>
      <c r="K35" s="56">
        <v>445580.72181422921</v>
      </c>
      <c r="L35" s="56">
        <v>190000</v>
      </c>
      <c r="M35" s="307" t="b">
        <v>0</v>
      </c>
      <c r="N35" s="56">
        <f t="shared" si="2"/>
        <v>445580.72181422921</v>
      </c>
      <c r="O35" s="23"/>
      <c r="P35" s="23"/>
      <c r="Q35" s="23"/>
      <c r="R35" s="23"/>
      <c r="S35" s="29"/>
      <c r="U35" s="71" t="s">
        <v>16</v>
      </c>
      <c r="V35" s="86">
        <v>134217.38330243173</v>
      </c>
      <c r="W35" s="86">
        <v>40000</v>
      </c>
      <c r="X35" s="86" t="b">
        <v>0</v>
      </c>
      <c r="Y35" s="4"/>
      <c r="Z35" s="4"/>
      <c r="AA35" s="4"/>
      <c r="AB35" s="4"/>
      <c r="AC35" s="4"/>
      <c r="AD35" s="10"/>
    </row>
    <row r="36" spans="1:30" s="5" customFormat="1" ht="14.4">
      <c r="A36" s="15"/>
      <c r="B36" s="47" t="s">
        <v>18</v>
      </c>
      <c r="C36" s="24">
        <f t="shared" si="0"/>
        <v>374752125.59999996</v>
      </c>
      <c r="D36" s="25">
        <v>0.24</v>
      </c>
      <c r="E36" s="26">
        <v>1561467190</v>
      </c>
      <c r="F36" s="207">
        <v>0.27083674429999999</v>
      </c>
      <c r="G36" s="30">
        <f t="shared" si="1"/>
        <v>422902690.07086951</v>
      </c>
      <c r="H36" s="27"/>
      <c r="I36" s="27"/>
      <c r="J36" s="66" t="s">
        <v>17</v>
      </c>
      <c r="K36" s="56">
        <v>1269252.1059327095</v>
      </c>
      <c r="L36" s="56">
        <v>1230000</v>
      </c>
      <c r="M36" s="307" t="b">
        <v>0</v>
      </c>
      <c r="N36" s="56">
        <f t="shared" si="2"/>
        <v>1269252.1059327095</v>
      </c>
      <c r="O36" s="23"/>
      <c r="P36" s="23"/>
      <c r="Q36" s="23"/>
      <c r="R36" s="23"/>
      <c r="S36" s="29"/>
      <c r="U36" s="71" t="s">
        <v>17</v>
      </c>
      <c r="V36" s="86">
        <v>382322.86108736461</v>
      </c>
      <c r="W36" s="86">
        <v>1180000</v>
      </c>
      <c r="X36" s="86" t="b">
        <v>1</v>
      </c>
      <c r="Y36" s="4"/>
      <c r="Z36" s="4"/>
      <c r="AA36" s="4"/>
      <c r="AB36" s="4"/>
      <c r="AC36" s="4"/>
      <c r="AD36" s="10"/>
    </row>
    <row r="37" spans="1:30" s="5" customFormat="1" ht="14.4">
      <c r="A37" s="15"/>
      <c r="B37" s="47" t="s">
        <v>19</v>
      </c>
      <c r="C37" s="24">
        <f t="shared" si="0"/>
        <v>0</v>
      </c>
      <c r="D37" s="25">
        <v>0</v>
      </c>
      <c r="E37" s="26">
        <v>108318692</v>
      </c>
      <c r="F37" s="207">
        <v>0</v>
      </c>
      <c r="G37" s="30">
        <f t="shared" si="1"/>
        <v>0</v>
      </c>
      <c r="H37" s="27"/>
      <c r="I37" s="27"/>
      <c r="J37" s="66" t="s">
        <v>18</v>
      </c>
      <c r="K37" s="56">
        <v>13587196.753407342</v>
      </c>
      <c r="L37" s="56">
        <v>30080000</v>
      </c>
      <c r="M37" s="57" t="b">
        <v>1</v>
      </c>
      <c r="N37" s="56">
        <f t="shared" si="2"/>
        <v>30080000</v>
      </c>
      <c r="O37" s="23"/>
      <c r="P37" s="23"/>
      <c r="Q37" s="23"/>
      <c r="R37" s="23"/>
      <c r="S37" s="29"/>
      <c r="U37" s="71" t="s">
        <v>18</v>
      </c>
      <c r="V37" s="86">
        <v>4092721.9365157783</v>
      </c>
      <c r="W37" s="86">
        <v>27500000</v>
      </c>
      <c r="X37" s="86" t="b">
        <v>1</v>
      </c>
      <c r="Y37" s="4"/>
      <c r="Z37" s="4"/>
      <c r="AA37" s="4"/>
      <c r="AB37" s="4"/>
      <c r="AC37" s="4"/>
      <c r="AD37" s="10"/>
    </row>
    <row r="38" spans="1:30" s="5" customFormat="1" ht="14.4">
      <c r="A38" s="15"/>
      <c r="B38" s="47" t="s">
        <v>44</v>
      </c>
      <c r="C38" s="24">
        <f t="shared" si="0"/>
        <v>0</v>
      </c>
      <c r="D38" s="25">
        <v>0</v>
      </c>
      <c r="E38" s="26">
        <v>45948568</v>
      </c>
      <c r="F38" s="207">
        <v>0</v>
      </c>
      <c r="G38" s="30">
        <f t="shared" si="1"/>
        <v>0</v>
      </c>
      <c r="H38" s="27"/>
      <c r="I38" s="27"/>
      <c r="J38" s="66" t="s">
        <v>19</v>
      </c>
      <c r="K38" s="56">
        <v>933154.81061429076</v>
      </c>
      <c r="L38" s="56">
        <v>0</v>
      </c>
      <c r="M38" s="57" t="b">
        <v>0</v>
      </c>
      <c r="N38" s="56">
        <f t="shared" si="2"/>
        <v>933154.81061429076</v>
      </c>
      <c r="O38" s="23"/>
      <c r="P38" s="23"/>
      <c r="Q38" s="23"/>
      <c r="R38" s="23"/>
      <c r="S38" s="29"/>
      <c r="U38" s="71" t="s">
        <v>19</v>
      </c>
      <c r="V38" s="86">
        <v>289353.17341328016</v>
      </c>
      <c r="W38" s="86">
        <v>1120000</v>
      </c>
      <c r="X38" s="86" t="b">
        <v>1</v>
      </c>
      <c r="Y38" s="4"/>
      <c r="Z38" s="4"/>
      <c r="AA38" s="4"/>
      <c r="AB38" s="4"/>
      <c r="AC38" s="4"/>
      <c r="AD38" s="10"/>
    </row>
    <row r="39" spans="1:30" s="5" customFormat="1" ht="14.4">
      <c r="A39" s="15"/>
      <c r="B39" s="47" t="s">
        <v>20</v>
      </c>
      <c r="C39" s="24">
        <f t="shared" si="0"/>
        <v>1734210.4638908447</v>
      </c>
      <c r="D39" s="25">
        <v>6.9639309900000002E-2</v>
      </c>
      <c r="E39" s="26">
        <v>24902752</v>
      </c>
      <c r="F39" s="207">
        <v>6.9639309900000002E-2</v>
      </c>
      <c r="G39" s="30">
        <f t="shared" si="1"/>
        <v>1734210.4638908447</v>
      </c>
      <c r="H39" s="27"/>
      <c r="I39" s="27"/>
      <c r="J39" s="66" t="s">
        <v>20</v>
      </c>
      <c r="K39" s="56">
        <v>209479.16957862498</v>
      </c>
      <c r="L39" s="56">
        <v>130000</v>
      </c>
      <c r="M39" s="307" t="b">
        <v>0</v>
      </c>
      <c r="N39" s="56">
        <f t="shared" si="2"/>
        <v>209479.16957862498</v>
      </c>
      <c r="O39" s="23"/>
      <c r="P39" s="23"/>
      <c r="Q39" s="23"/>
      <c r="R39" s="23"/>
      <c r="S39" s="29"/>
      <c r="U39" s="71" t="s">
        <v>20</v>
      </c>
      <c r="V39" s="86">
        <v>65253.779765245374</v>
      </c>
      <c r="W39" s="86">
        <v>0</v>
      </c>
      <c r="X39" s="86" t="b">
        <v>0</v>
      </c>
      <c r="Y39" s="4"/>
      <c r="Z39" s="4"/>
      <c r="AA39" s="4"/>
      <c r="AB39" s="4"/>
      <c r="AC39" s="4"/>
      <c r="AD39" s="10"/>
    </row>
    <row r="40" spans="1:30" s="5" customFormat="1" ht="14.4">
      <c r="A40" s="15"/>
      <c r="B40" s="47" t="s">
        <v>21</v>
      </c>
      <c r="C40" s="24">
        <f t="shared" si="0"/>
        <v>0</v>
      </c>
      <c r="D40" s="25">
        <v>0</v>
      </c>
      <c r="E40" s="26">
        <v>2331209</v>
      </c>
      <c r="F40" s="207">
        <v>0</v>
      </c>
      <c r="G40" s="30">
        <f t="shared" si="1"/>
        <v>0</v>
      </c>
      <c r="H40" s="27"/>
      <c r="I40" s="27"/>
      <c r="J40" s="66" t="s">
        <v>21</v>
      </c>
      <c r="K40" s="56">
        <v>19551.322161405304</v>
      </c>
      <c r="L40" s="56">
        <v>0</v>
      </c>
      <c r="M40" s="57" t="b">
        <v>0</v>
      </c>
      <c r="N40" s="56">
        <f t="shared" si="2"/>
        <v>19551.322161405304</v>
      </c>
      <c r="O40" s="23"/>
      <c r="P40" s="23"/>
      <c r="Q40" s="23"/>
      <c r="R40" s="23"/>
      <c r="S40" s="29"/>
      <c r="U40" s="71" t="s">
        <v>21</v>
      </c>
      <c r="V40" s="86">
        <v>5889.2298794307153</v>
      </c>
      <c r="W40" s="86">
        <v>0</v>
      </c>
      <c r="X40" s="86" t="b">
        <v>0</v>
      </c>
      <c r="Y40" s="4"/>
      <c r="Z40" s="4"/>
      <c r="AA40" s="4"/>
      <c r="AB40" s="4"/>
      <c r="AC40" s="4"/>
      <c r="AD40" s="10"/>
    </row>
    <row r="41" spans="1:30" s="5" customFormat="1" ht="14.4">
      <c r="A41" s="15"/>
      <c r="B41" s="47" t="s">
        <v>22</v>
      </c>
      <c r="C41" s="24">
        <f t="shared" si="0"/>
        <v>26419.3196083767</v>
      </c>
      <c r="D41" s="25">
        <v>8.3806551000000003E-3</v>
      </c>
      <c r="E41" s="26">
        <v>3152417</v>
      </c>
      <c r="F41" s="207">
        <v>8.3806551000000003E-3</v>
      </c>
      <c r="G41" s="30">
        <f t="shared" si="1"/>
        <v>26419.3196083767</v>
      </c>
      <c r="H41" s="27"/>
      <c r="I41" s="27"/>
      <c r="J41" s="66" t="s">
        <v>22</v>
      </c>
      <c r="K41" s="56">
        <v>28248.967921806096</v>
      </c>
      <c r="L41" s="56">
        <v>0</v>
      </c>
      <c r="M41" s="57" t="b">
        <v>0</v>
      </c>
      <c r="N41" s="56">
        <f t="shared" si="2"/>
        <v>28248.967921806096</v>
      </c>
      <c r="O41" s="23"/>
      <c r="P41" s="23"/>
      <c r="Q41" s="23"/>
      <c r="R41" s="23"/>
      <c r="S41" s="29"/>
      <c r="U41" s="71" t="s">
        <v>22</v>
      </c>
      <c r="V41" s="86">
        <v>8509.1261130455568</v>
      </c>
      <c r="W41" s="86">
        <v>0</v>
      </c>
      <c r="X41" s="86" t="b">
        <v>0</v>
      </c>
      <c r="Y41" s="4"/>
      <c r="Z41" s="4"/>
      <c r="AA41" s="4"/>
      <c r="AB41" s="4"/>
      <c r="AC41" s="4"/>
      <c r="AD41" s="10"/>
    </row>
    <row r="42" spans="1:30" s="5" customFormat="1" ht="14.4">
      <c r="A42" s="15"/>
      <c r="B42" s="47" t="s">
        <v>23</v>
      </c>
      <c r="C42" s="24">
        <f t="shared" si="0"/>
        <v>23026813.68</v>
      </c>
      <c r="D42" s="25">
        <v>0.24</v>
      </c>
      <c r="E42" s="26">
        <v>95945057</v>
      </c>
      <c r="F42" s="207">
        <v>0.27698617520000002</v>
      </c>
      <c r="G42" s="30">
        <f t="shared" si="1"/>
        <v>26575454.367775988</v>
      </c>
      <c r="H42" s="27"/>
      <c r="I42" s="27"/>
      <c r="J42" s="66" t="s">
        <v>23</v>
      </c>
      <c r="K42" s="56">
        <v>744581.9555161834</v>
      </c>
      <c r="L42" s="56">
        <v>1840000</v>
      </c>
      <c r="M42" s="57" t="b">
        <v>1</v>
      </c>
      <c r="N42" s="56">
        <f t="shared" si="2"/>
        <v>1840000</v>
      </c>
      <c r="O42" s="23"/>
      <c r="P42" s="23"/>
      <c r="Q42" s="23"/>
      <c r="R42" s="23"/>
      <c r="S42" s="29"/>
      <c r="U42" s="71" t="s">
        <v>23</v>
      </c>
      <c r="V42" s="86">
        <v>224282.23850594432</v>
      </c>
      <c r="W42" s="86">
        <v>1670000</v>
      </c>
      <c r="X42" s="86" t="b">
        <v>1</v>
      </c>
      <c r="Y42" s="4"/>
      <c r="Z42" s="4"/>
      <c r="AA42" s="4"/>
      <c r="AB42" s="4"/>
      <c r="AC42" s="4"/>
      <c r="AD42" s="10"/>
    </row>
    <row r="43" spans="1:30" s="5" customFormat="1" ht="14.4">
      <c r="A43" s="15"/>
      <c r="B43" s="47" t="s">
        <v>24</v>
      </c>
      <c r="C43" s="24">
        <f t="shared" si="0"/>
        <v>48111.6463562688</v>
      </c>
      <c r="D43" s="25">
        <v>2.8389840000000001E-4</v>
      </c>
      <c r="E43" s="26">
        <v>169467832</v>
      </c>
      <c r="F43" s="207">
        <v>2.8389840000000001E-4</v>
      </c>
      <c r="G43" s="30">
        <f t="shared" si="1"/>
        <v>48111.6463562688</v>
      </c>
      <c r="H43" s="27"/>
      <c r="I43" s="27"/>
      <c r="J43" s="66" t="s">
        <v>24</v>
      </c>
      <c r="K43" s="56">
        <v>1561158.2205065612</v>
      </c>
      <c r="L43" s="56">
        <v>0</v>
      </c>
      <c r="M43" s="57" t="b">
        <v>0</v>
      </c>
      <c r="N43" s="56">
        <f t="shared" si="2"/>
        <v>1561158.2205065612</v>
      </c>
      <c r="O43" s="23"/>
      <c r="P43" s="23"/>
      <c r="Q43" s="23"/>
      <c r="R43" s="23"/>
      <c r="S43" s="29"/>
      <c r="U43" s="71" t="s">
        <v>24</v>
      </c>
      <c r="V43" s="86">
        <v>470250.53154079284</v>
      </c>
      <c r="W43" s="86">
        <v>590000</v>
      </c>
      <c r="X43" s="86" t="b">
        <v>1</v>
      </c>
      <c r="Y43" s="4"/>
      <c r="Z43" s="4"/>
      <c r="AA43" s="4"/>
      <c r="AB43" s="4"/>
      <c r="AC43" s="4"/>
      <c r="AD43" s="10"/>
    </row>
    <row r="44" spans="1:30" s="5" customFormat="1" ht="14.4">
      <c r="A44" s="15"/>
      <c r="B44" s="47" t="s">
        <v>37</v>
      </c>
      <c r="C44" s="24">
        <f t="shared" si="0"/>
        <v>0</v>
      </c>
      <c r="D44" s="25">
        <v>0</v>
      </c>
      <c r="E44" s="26">
        <v>17468696</v>
      </c>
      <c r="F44" s="207">
        <v>0</v>
      </c>
      <c r="G44" s="30">
        <f t="shared" si="1"/>
        <v>0</v>
      </c>
      <c r="H44" s="27"/>
      <c r="I44" s="27"/>
      <c r="J44" s="66" t="s">
        <v>37</v>
      </c>
      <c r="K44" s="56">
        <v>135023.29839619846</v>
      </c>
      <c r="L44" s="56">
        <v>0</v>
      </c>
      <c r="M44" s="57" t="b">
        <v>0</v>
      </c>
      <c r="N44" s="56">
        <f t="shared" si="2"/>
        <v>135023.29839619846</v>
      </c>
      <c r="O44" s="23"/>
      <c r="P44" s="23"/>
      <c r="Q44" s="23"/>
      <c r="R44" s="23"/>
      <c r="S44" s="29"/>
      <c r="U44" s="71" t="s">
        <v>37</v>
      </c>
      <c r="V44" s="86">
        <v>40671.584088767602</v>
      </c>
      <c r="W44" s="86">
        <v>0</v>
      </c>
      <c r="X44" s="86" t="b">
        <v>0</v>
      </c>
      <c r="Y44" s="4"/>
      <c r="Z44" s="4"/>
      <c r="AA44" s="4"/>
      <c r="AB44" s="4"/>
      <c r="AC44" s="4"/>
      <c r="AD44" s="10"/>
    </row>
    <row r="45" spans="1:30" s="5" customFormat="1" ht="14.4">
      <c r="A45" s="15"/>
      <c r="B45" s="47" t="s">
        <v>25</v>
      </c>
      <c r="C45" s="24">
        <f t="shared" si="0"/>
        <v>0</v>
      </c>
      <c r="D45" s="25">
        <v>0</v>
      </c>
      <c r="E45" s="26">
        <v>25381889</v>
      </c>
      <c r="F45" s="207">
        <v>0</v>
      </c>
      <c r="G45" s="30">
        <f t="shared" si="1"/>
        <v>0</v>
      </c>
      <c r="H45" s="27"/>
      <c r="I45" s="27"/>
      <c r="J45" s="66" t="s">
        <v>25</v>
      </c>
      <c r="K45" s="56">
        <v>228668.08939978233</v>
      </c>
      <c r="L45" s="56">
        <v>0</v>
      </c>
      <c r="M45" s="57" t="b">
        <v>0</v>
      </c>
      <c r="N45" s="56">
        <f t="shared" si="2"/>
        <v>228668.08939978233</v>
      </c>
      <c r="O45" s="23"/>
      <c r="P45" s="23"/>
      <c r="Q45" s="23"/>
      <c r="R45" s="23"/>
      <c r="S45" s="29"/>
      <c r="U45" s="71" t="s">
        <v>25</v>
      </c>
      <c r="V45" s="86">
        <v>68879.175200943864</v>
      </c>
      <c r="W45" s="86">
        <v>0</v>
      </c>
      <c r="X45" s="86" t="b">
        <v>0</v>
      </c>
      <c r="Y45" s="4"/>
      <c r="Z45" s="4"/>
      <c r="AA45" s="4"/>
      <c r="AB45" s="4"/>
      <c r="AC45" s="4"/>
      <c r="AD45" s="10"/>
    </row>
    <row r="46" spans="1:30" s="5" customFormat="1" ht="14.4">
      <c r="A46" s="15"/>
      <c r="B46" s="47" t="s">
        <v>26</v>
      </c>
      <c r="C46" s="24">
        <f t="shared" si="0"/>
        <v>0</v>
      </c>
      <c r="D46" s="25">
        <v>0</v>
      </c>
      <c r="E46" s="26">
        <v>4077059</v>
      </c>
      <c r="F46" s="207">
        <v>0</v>
      </c>
      <c r="G46" s="30">
        <f t="shared" si="1"/>
        <v>0</v>
      </c>
      <c r="H46" s="27"/>
      <c r="I46" s="27"/>
      <c r="J46" s="66" t="s">
        <v>26</v>
      </c>
      <c r="K46" s="56">
        <v>36926.281028566314</v>
      </c>
      <c r="L46" s="56">
        <v>0</v>
      </c>
      <c r="M46" s="57" t="b">
        <v>0</v>
      </c>
      <c r="N46" s="56">
        <f t="shared" si="2"/>
        <v>36926.281028566314</v>
      </c>
      <c r="O46" s="23"/>
      <c r="P46" s="23"/>
      <c r="Q46" s="23"/>
      <c r="R46" s="23"/>
      <c r="S46" s="29"/>
      <c r="U46" s="71" t="s">
        <v>26</v>
      </c>
      <c r="V46" s="86">
        <v>11398.61871508402</v>
      </c>
      <c r="W46" s="86">
        <v>0</v>
      </c>
      <c r="X46" s="86" t="b">
        <v>0</v>
      </c>
      <c r="Y46" s="4"/>
      <c r="Z46" s="4"/>
      <c r="AA46" s="4"/>
      <c r="AB46" s="4"/>
      <c r="AC46" s="4"/>
      <c r="AD46" s="10"/>
    </row>
    <row r="47" spans="1:30" s="5" customFormat="1" ht="14.4">
      <c r="A47" s="15"/>
      <c r="B47" s="47" t="s">
        <v>27</v>
      </c>
      <c r="C47" s="24">
        <f t="shared" si="0"/>
        <v>0</v>
      </c>
      <c r="D47" s="25">
        <v>0</v>
      </c>
      <c r="E47" s="26">
        <v>3231209</v>
      </c>
      <c r="F47" s="207">
        <v>0</v>
      </c>
      <c r="G47" s="30">
        <f t="shared" si="1"/>
        <v>0</v>
      </c>
      <c r="H47" s="27"/>
      <c r="I47" s="27"/>
      <c r="J47" s="66" t="s">
        <v>27</v>
      </c>
      <c r="K47" s="56">
        <v>17919.664609537049</v>
      </c>
      <c r="L47" s="56">
        <v>0</v>
      </c>
      <c r="M47" s="57" t="b">
        <v>0</v>
      </c>
      <c r="N47" s="56">
        <f t="shared" si="2"/>
        <v>17919.664609537049</v>
      </c>
      <c r="O47" s="23"/>
      <c r="P47" s="23"/>
      <c r="Q47" s="23"/>
      <c r="R47" s="23"/>
      <c r="S47" s="29"/>
      <c r="U47" s="71" t="s">
        <v>27</v>
      </c>
      <c r="V47" s="86">
        <v>5397.7436091860336</v>
      </c>
      <c r="W47" s="86">
        <v>0</v>
      </c>
      <c r="X47" s="86" t="b">
        <v>0</v>
      </c>
      <c r="Y47" s="4"/>
      <c r="Z47" s="4"/>
      <c r="AA47" s="4"/>
      <c r="AB47" s="4"/>
      <c r="AC47" s="4"/>
      <c r="AD47" s="10"/>
    </row>
    <row r="48" spans="1:30" s="5" customFormat="1" ht="14.4">
      <c r="A48" s="15"/>
      <c r="B48" s="47" t="s">
        <v>28</v>
      </c>
      <c r="C48" s="24">
        <f t="shared" si="0"/>
        <v>209629.40046553742</v>
      </c>
      <c r="D48" s="25">
        <v>4.3560822300000003E-2</v>
      </c>
      <c r="E48" s="26">
        <v>4812338</v>
      </c>
      <c r="F48" s="207">
        <v>4.3560822300000003E-2</v>
      </c>
      <c r="G48" s="30">
        <f t="shared" si="1"/>
        <v>209629.40046553742</v>
      </c>
      <c r="H48" s="27"/>
      <c r="I48" s="27"/>
      <c r="J48" s="66" t="s">
        <v>28</v>
      </c>
      <c r="K48" s="56">
        <v>43510.581654491703</v>
      </c>
      <c r="L48" s="56">
        <v>10000</v>
      </c>
      <c r="M48" s="307" t="b">
        <v>0</v>
      </c>
      <c r="N48" s="56">
        <f t="shared" si="2"/>
        <v>43510.581654491703</v>
      </c>
      <c r="O48" s="23"/>
      <c r="P48" s="23"/>
      <c r="Q48" s="23"/>
      <c r="R48" s="23"/>
      <c r="S48" s="29"/>
      <c r="U48" s="71" t="s">
        <v>28</v>
      </c>
      <c r="V48" s="86">
        <v>13106.214272141289</v>
      </c>
      <c r="W48" s="86">
        <v>10000</v>
      </c>
      <c r="X48" s="86" t="b">
        <v>0</v>
      </c>
      <c r="Y48" s="4"/>
      <c r="Z48" s="4"/>
      <c r="AA48" s="4"/>
      <c r="AB48" s="4"/>
      <c r="AC48" s="4"/>
      <c r="AD48" s="10"/>
    </row>
    <row r="49" spans="1:30" s="5" customFormat="1" ht="14.4">
      <c r="A49" s="15"/>
      <c r="B49" s="47" t="s">
        <v>32</v>
      </c>
      <c r="C49" s="24">
        <f t="shared" si="0"/>
        <v>0</v>
      </c>
      <c r="D49" s="25">
        <v>0</v>
      </c>
      <c r="E49" s="26">
        <v>280996289</v>
      </c>
      <c r="F49" s="207">
        <v>0</v>
      </c>
      <c r="G49" s="30">
        <f t="shared" si="1"/>
        <v>0</v>
      </c>
      <c r="H49" s="27"/>
      <c r="I49" s="27"/>
      <c r="J49" s="66" t="s">
        <v>32</v>
      </c>
      <c r="K49" s="56">
        <v>2732797.5788926398</v>
      </c>
      <c r="L49" s="56">
        <v>0</v>
      </c>
      <c r="M49" s="57" t="b">
        <v>0</v>
      </c>
      <c r="N49" s="56">
        <f t="shared" si="2"/>
        <v>2732797.5788926398</v>
      </c>
      <c r="O49" s="23"/>
      <c r="P49" s="23"/>
      <c r="Q49" s="23"/>
      <c r="R49" s="23"/>
      <c r="S49" s="29"/>
      <c r="U49" s="71" t="s">
        <v>32</v>
      </c>
      <c r="V49" s="86">
        <v>845263.20931194816</v>
      </c>
      <c r="W49" s="86">
        <v>700000</v>
      </c>
      <c r="X49" s="86" t="b">
        <v>0</v>
      </c>
      <c r="Y49" s="4"/>
      <c r="Z49" s="4"/>
      <c r="AA49" s="4"/>
      <c r="AB49" s="4"/>
      <c r="AC49" s="4"/>
      <c r="AD49" s="10"/>
    </row>
    <row r="50" spans="1:30" s="5" customFormat="1" ht="14.4">
      <c r="A50" s="15"/>
      <c r="B50" s="47" t="s">
        <v>42</v>
      </c>
      <c r="C50" s="24">
        <f t="shared" si="0"/>
        <v>0</v>
      </c>
      <c r="D50" s="25">
        <v>0</v>
      </c>
      <c r="E50" s="26">
        <v>24984258</v>
      </c>
      <c r="F50" s="207">
        <v>0</v>
      </c>
      <c r="G50" s="30">
        <f t="shared" si="1"/>
        <v>0</v>
      </c>
      <c r="H50" s="27"/>
      <c r="I50" s="27"/>
      <c r="J50" s="66" t="s">
        <v>42</v>
      </c>
      <c r="K50" s="56">
        <v>234917.33693353544</v>
      </c>
      <c r="L50" s="56">
        <v>0</v>
      </c>
      <c r="M50" s="57" t="b">
        <v>0</v>
      </c>
      <c r="N50" s="56">
        <f t="shared" si="2"/>
        <v>234917.33693353544</v>
      </c>
      <c r="O50" s="23"/>
      <c r="P50" s="23"/>
      <c r="Q50" s="23"/>
      <c r="R50" s="23"/>
      <c r="S50" s="29"/>
      <c r="U50" s="71" t="s">
        <v>42</v>
      </c>
      <c r="V50" s="86">
        <v>70761.567347925491</v>
      </c>
      <c r="W50" s="86">
        <v>0</v>
      </c>
      <c r="X50" s="86" t="b">
        <v>0</v>
      </c>
      <c r="Y50" s="4"/>
      <c r="Z50" s="4"/>
      <c r="AA50" s="4"/>
      <c r="AB50" s="4"/>
      <c r="AC50" s="4"/>
      <c r="AD50" s="10"/>
    </row>
    <row r="51" spans="1:30" s="5" customFormat="1" ht="14.4">
      <c r="A51" s="15"/>
      <c r="B51" s="47" t="s">
        <v>29</v>
      </c>
      <c r="C51" s="24">
        <f t="shared" si="0"/>
        <v>0</v>
      </c>
      <c r="D51" s="25">
        <v>0</v>
      </c>
      <c r="E51" s="26">
        <v>1521009</v>
      </c>
      <c r="F51" s="207">
        <v>0</v>
      </c>
      <c r="G51" s="30">
        <f t="shared" si="1"/>
        <v>0</v>
      </c>
      <c r="H51" s="27"/>
      <c r="I51" s="27"/>
      <c r="J51" s="65" t="s">
        <v>29</v>
      </c>
      <c r="K51" s="56">
        <v>8679.4209217635453</v>
      </c>
      <c r="L51" s="56">
        <v>0</v>
      </c>
      <c r="M51" s="57" t="b">
        <v>0</v>
      </c>
      <c r="N51" s="56">
        <f t="shared" si="2"/>
        <v>8679.4209217635453</v>
      </c>
      <c r="O51" s="23"/>
      <c r="P51" s="23"/>
      <c r="Q51" s="23"/>
      <c r="R51" s="23"/>
      <c r="S51" s="29"/>
      <c r="U51" s="71" t="s">
        <v>29</v>
      </c>
      <c r="V51" s="86">
        <v>2614.4065657875653</v>
      </c>
      <c r="W51" s="86">
        <v>0</v>
      </c>
      <c r="X51" s="86" t="b">
        <v>0</v>
      </c>
      <c r="Y51" s="4"/>
      <c r="Z51" s="4"/>
      <c r="AA51" s="4"/>
      <c r="AB51" s="4"/>
      <c r="AC51" s="4"/>
      <c r="AD51" s="10"/>
    </row>
    <row r="52" spans="1:30" ht="14.4" thickBot="1">
      <c r="B52" s="48" t="s">
        <v>30</v>
      </c>
      <c r="C52" s="24">
        <f t="shared" si="0"/>
        <v>0</v>
      </c>
      <c r="D52" s="25">
        <v>0</v>
      </c>
      <c r="E52" s="26">
        <v>3331879</v>
      </c>
      <c r="F52" s="207">
        <v>0</v>
      </c>
      <c r="G52" s="30">
        <f t="shared" si="1"/>
        <v>0</v>
      </c>
      <c r="H52" s="27"/>
      <c r="I52" s="27"/>
      <c r="J52" s="67" t="s">
        <v>30</v>
      </c>
      <c r="K52" s="58">
        <v>39277.518631387669</v>
      </c>
      <c r="L52" s="58">
        <v>0</v>
      </c>
      <c r="M52" s="59" t="b">
        <v>0</v>
      </c>
      <c r="N52" s="58">
        <f t="shared" si="2"/>
        <v>39277.518631387669</v>
      </c>
      <c r="O52" s="17"/>
      <c r="P52" s="17"/>
      <c r="Q52" s="17"/>
      <c r="R52" s="17"/>
      <c r="S52" s="38"/>
      <c r="T52" s="23"/>
      <c r="U52" s="73" t="s">
        <v>30</v>
      </c>
      <c r="V52" s="37">
        <v>11831.135224730935</v>
      </c>
      <c r="W52" s="37">
        <v>0</v>
      </c>
      <c r="X52" s="17" t="b">
        <v>0</v>
      </c>
      <c r="Y52" s="17"/>
      <c r="Z52" s="17"/>
      <c r="AA52" s="17"/>
      <c r="AB52" s="17"/>
      <c r="AC52" s="17"/>
      <c r="AD52" s="38"/>
    </row>
    <row r="53" spans="1:30" ht="14.4" thickBot="1">
      <c r="B53" s="42" t="s">
        <v>46</v>
      </c>
      <c r="C53" s="43">
        <f>SUM(C9:C52)</f>
        <v>652035459.94190156</v>
      </c>
      <c r="D53" s="44" t="s">
        <v>1</v>
      </c>
      <c r="E53" s="45">
        <f>SUM(E9:E52)</f>
        <v>5067265153</v>
      </c>
      <c r="F53" s="209"/>
      <c r="G53" s="46">
        <f>SUM(G9:G52)</f>
        <v>712103909.65203178</v>
      </c>
      <c r="H53" s="208"/>
      <c r="I53" s="208"/>
      <c r="J53" s="60" t="s">
        <v>122</v>
      </c>
      <c r="K53" s="56">
        <f>SUM(K9:K52)</f>
        <v>45657426.625435084</v>
      </c>
      <c r="L53" s="56">
        <f>SUM(L9:L52)</f>
        <v>52240000</v>
      </c>
      <c r="M53" s="52"/>
      <c r="N53" s="56">
        <f>SUM(N9:N52)</f>
        <v>68883380.041319951</v>
      </c>
      <c r="O53" s="17"/>
      <c r="P53" s="17"/>
      <c r="Q53" s="17"/>
      <c r="R53" s="17"/>
      <c r="S53" s="38"/>
      <c r="T53" s="23"/>
      <c r="U53" s="223" t="s">
        <v>142</v>
      </c>
      <c r="V53" s="37">
        <f>SUM(V9:V52)</f>
        <v>13785677.034070015</v>
      </c>
      <c r="W53" s="37">
        <f>SUM(W9:W52)</f>
        <v>55030000</v>
      </c>
      <c r="X53" s="72" t="s">
        <v>1</v>
      </c>
      <c r="Y53" s="17"/>
      <c r="Z53" s="17"/>
      <c r="AA53" s="17"/>
      <c r="AB53" s="17"/>
      <c r="AC53" s="17"/>
      <c r="AD53" s="38"/>
    </row>
    <row r="54" spans="1:30">
      <c r="B54" s="15" t="s">
        <v>162</v>
      </c>
      <c r="C54" s="244">
        <f>C53/E53</f>
        <v>0.1286760096925012</v>
      </c>
      <c r="H54" s="39"/>
      <c r="I54" s="39"/>
      <c r="J54" s="39"/>
      <c r="M54" s="40"/>
      <c r="Q54" s="23"/>
      <c r="R54" s="23"/>
      <c r="S54" s="23"/>
      <c r="T54" s="23"/>
      <c r="U54" s="23"/>
      <c r="V54" s="18"/>
      <c r="W54" s="26"/>
      <c r="X54" s="26"/>
    </row>
    <row r="55" spans="1:30" s="17" customFormat="1" ht="14.4" thickBot="1">
      <c r="H55" s="41"/>
      <c r="I55" s="41"/>
      <c r="J55" s="41"/>
      <c r="M55" s="37"/>
      <c r="Q55" s="41"/>
    </row>
    <row r="56" spans="1:30" hidden="1">
      <c r="Q56" s="23"/>
      <c r="R56" s="23"/>
      <c r="S56" s="23"/>
      <c r="T56" s="15" t="s">
        <v>152</v>
      </c>
      <c r="U56" s="219">
        <f>K51+I67-I57-I37</f>
        <v>8679.4209217635453</v>
      </c>
      <c r="Y56" s="23"/>
      <c r="Z56" s="23"/>
      <c r="AA56" s="23"/>
      <c r="AB56" s="23"/>
      <c r="AC56" s="23"/>
      <c r="AD56" s="23"/>
    </row>
    <row r="57" spans="1:30" hidden="1">
      <c r="Q57" s="23"/>
      <c r="R57" s="23"/>
      <c r="S57" s="23"/>
      <c r="T57" s="15" t="s">
        <v>153</v>
      </c>
      <c r="U57" s="219">
        <f>M51+N67-O37</f>
        <v>0</v>
      </c>
      <c r="Y57" s="23"/>
      <c r="Z57" s="23"/>
      <c r="AA57" s="23"/>
      <c r="AB57" s="23"/>
      <c r="AC57" s="23"/>
      <c r="AD57" s="23"/>
    </row>
    <row r="58" spans="1:30" hidden="1">
      <c r="Y58" s="23"/>
      <c r="Z58" s="23"/>
      <c r="AA58" s="23"/>
      <c r="AB58" s="23"/>
      <c r="AC58" s="23"/>
      <c r="AD58" s="23"/>
    </row>
    <row r="59" spans="1:30" ht="14.4" hidden="1">
      <c r="T59" s="15" t="s">
        <v>154</v>
      </c>
      <c r="V59" s="220">
        <f>U56</f>
        <v>8679.4209217635453</v>
      </c>
      <c r="W59" s="218" t="s">
        <v>1</v>
      </c>
      <c r="X59" s="220">
        <f>U57</f>
        <v>0</v>
      </c>
    </row>
    <row r="60" spans="1:30" hidden="1"/>
    <row r="61" spans="1:30" hidden="1"/>
    <row r="62" spans="1:30" hidden="1"/>
    <row r="63" spans="1:30" hidden="1"/>
    <row r="64" spans="1:30" hidden="1"/>
    <row r="65" hidden="1"/>
    <row r="66" hidden="1"/>
    <row r="67" hidden="1"/>
  </sheetData>
  <sheetProtection algorithmName="SHA-512" hashValue="oAJcC+UzwmsjYGXpTSDxV92B7seOhYODhbjxviim3YkbhuO3M1ahQdla6Js/ADdOQAIHF2cOwxD06rKmOtxdVw==" saltValue="K+wtBnl+tXnnRtoUfIwZCw==" spinCount="100000" sheet="1" objects="1" scenarios="1"/>
  <mergeCells count="1">
    <mergeCell ref="B2:N3"/>
  </mergeCell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
  <sheetViews>
    <sheetView showGridLines="0" zoomScale="80" zoomScaleNormal="80" workbookViewId="0">
      <selection activeCell="K33" sqref="K33"/>
    </sheetView>
  </sheetViews>
  <sheetFormatPr defaultColWidth="0" defaultRowHeight="14.4" zeroHeight="1"/>
  <cols>
    <col min="1" max="1" width="8.88671875" customWidth="1"/>
    <col min="2" max="2" width="30.44140625" customWidth="1"/>
    <col min="3" max="3" width="22.33203125" customWidth="1"/>
    <col min="4" max="4" width="16.109375" customWidth="1"/>
    <col min="5" max="5" width="17.88671875" customWidth="1"/>
    <col min="6" max="6" width="17" customWidth="1"/>
    <col min="7" max="8" width="8.88671875" customWidth="1"/>
    <col min="9" max="9" width="11.21875" customWidth="1"/>
    <col min="10" max="10" width="18.5546875" customWidth="1"/>
    <col min="11" max="11" width="18.33203125" customWidth="1"/>
    <col min="12" max="18" width="8.88671875" customWidth="1"/>
    <col min="19" max="16384" width="8.88671875" hidden="1"/>
  </cols>
  <sheetData>
    <row r="1" spans="2:16" s="5" customFormat="1" ht="19.2">
      <c r="B1" s="232" t="s">
        <v>243</v>
      </c>
    </row>
    <row r="2" spans="2:16" s="5" customFormat="1">
      <c r="B2" s="74" t="s">
        <v>245</v>
      </c>
      <c r="C2" s="74"/>
      <c r="D2" s="74"/>
      <c r="E2" s="74"/>
      <c r="F2" s="74"/>
      <c r="G2" s="74"/>
      <c r="H2" s="74"/>
      <c r="I2" s="74"/>
      <c r="J2" s="74"/>
      <c r="K2" s="74"/>
      <c r="L2" s="74"/>
      <c r="M2" s="74"/>
      <c r="N2" s="74"/>
      <c r="O2" s="74"/>
      <c r="P2" s="74"/>
    </row>
    <row r="3" spans="2:16" s="5" customFormat="1">
      <c r="B3" s="74" t="s">
        <v>246</v>
      </c>
      <c r="C3" s="74"/>
      <c r="D3" s="74"/>
      <c r="E3" s="74"/>
      <c r="F3" s="74"/>
      <c r="H3" s="74"/>
      <c r="I3" s="74"/>
      <c r="J3" s="74" t="s">
        <v>244</v>
      </c>
      <c r="K3" s="74"/>
      <c r="L3" s="74"/>
      <c r="M3" s="74"/>
      <c r="N3" s="74"/>
      <c r="O3" s="74"/>
      <c r="P3" s="74"/>
    </row>
    <row r="4" spans="2:16" s="6" customFormat="1" ht="15" thickBot="1"/>
    <row r="5" spans="2:16" s="5" customFormat="1"/>
    <row r="6" spans="2:16" s="5" customFormat="1"/>
    <row r="7" spans="2:16" ht="15" thickBot="1">
      <c r="B7" s="301" t="s">
        <v>270</v>
      </c>
      <c r="C7" s="301"/>
      <c r="D7" s="301"/>
      <c r="F7" s="75" t="s">
        <v>271</v>
      </c>
    </row>
    <row r="8" spans="2:16">
      <c r="B8" s="76" t="s">
        <v>103</v>
      </c>
      <c r="C8" s="77" t="s">
        <v>128</v>
      </c>
      <c r="D8" s="78" t="s">
        <v>1</v>
      </c>
      <c r="F8" s="7"/>
      <c r="G8" s="8"/>
      <c r="H8" s="8"/>
      <c r="I8" s="8"/>
      <c r="J8" s="8"/>
      <c r="K8" s="9"/>
    </row>
    <row r="9" spans="2:16">
      <c r="B9" s="83" t="s">
        <v>2</v>
      </c>
      <c r="C9" s="79">
        <v>538941138.86291742</v>
      </c>
      <c r="D9" s="80">
        <v>0</v>
      </c>
      <c r="F9" s="285" t="s">
        <v>102</v>
      </c>
      <c r="G9" s="286"/>
      <c r="H9" s="286"/>
      <c r="I9" s="286"/>
      <c r="J9" s="287">
        <v>3.33929275265799E-3</v>
      </c>
      <c r="K9" s="80"/>
    </row>
    <row r="10" spans="2:16">
      <c r="B10" s="83" t="s">
        <v>3</v>
      </c>
      <c r="C10" s="79">
        <v>130362236.47252209</v>
      </c>
      <c r="D10" s="80">
        <v>0</v>
      </c>
      <c r="E10" s="3"/>
      <c r="F10" s="285" t="s">
        <v>69</v>
      </c>
      <c r="G10" s="286"/>
      <c r="H10" s="286"/>
      <c r="I10" s="286"/>
      <c r="J10" s="288">
        <v>4067974.8348330101</v>
      </c>
      <c r="K10" s="289">
        <f>J13*J9</f>
        <v>4231463.5766585888</v>
      </c>
    </row>
    <row r="11" spans="2:16">
      <c r="B11" s="83" t="s">
        <v>4</v>
      </c>
      <c r="C11" s="79">
        <v>518278974.03347415</v>
      </c>
      <c r="D11" s="80">
        <v>0</v>
      </c>
      <c r="F11" s="126"/>
      <c r="G11" s="86"/>
      <c r="H11" s="86"/>
      <c r="I11" s="86"/>
      <c r="J11" s="86"/>
      <c r="K11" s="80"/>
    </row>
    <row r="12" spans="2:16">
      <c r="B12" s="83" t="s">
        <v>5</v>
      </c>
      <c r="C12" s="79">
        <v>30684120.292092513</v>
      </c>
      <c r="D12" s="80">
        <v>0</v>
      </c>
      <c r="F12" s="126" t="s">
        <v>247</v>
      </c>
      <c r="G12" s="86"/>
      <c r="H12" s="86"/>
      <c r="I12" s="86"/>
      <c r="J12" s="86"/>
      <c r="K12" s="80"/>
    </row>
    <row r="13" spans="2:16">
      <c r="B13" s="83" t="s">
        <v>6</v>
      </c>
      <c r="C13" s="79">
        <v>4979098.7431242578</v>
      </c>
      <c r="D13" s="80">
        <v>1</v>
      </c>
      <c r="F13" s="290" t="s">
        <v>126</v>
      </c>
      <c r="G13" s="291"/>
      <c r="H13" s="291"/>
      <c r="I13" s="291"/>
      <c r="J13" s="292">
        <f>SUMIF(D9:D52,1,C9:C52)</f>
        <v>1267173587.3682995</v>
      </c>
      <c r="K13" s="293"/>
    </row>
    <row r="14" spans="2:16">
      <c r="B14" s="83" t="s">
        <v>7</v>
      </c>
      <c r="C14" s="79">
        <v>1980060.126930713</v>
      </c>
      <c r="D14" s="80">
        <v>1</v>
      </c>
      <c r="F14" s="126" t="s">
        <v>248</v>
      </c>
      <c r="G14" s="86"/>
      <c r="H14" s="86"/>
      <c r="I14" s="86"/>
      <c r="J14" s="86"/>
      <c r="K14" s="80"/>
    </row>
    <row r="15" spans="2:16">
      <c r="B15" s="83" t="s">
        <v>8</v>
      </c>
      <c r="C15" s="79">
        <v>3789024.2222143617</v>
      </c>
      <c r="D15" s="80">
        <v>1</v>
      </c>
      <c r="F15" s="126" t="s">
        <v>127</v>
      </c>
      <c r="G15" s="86"/>
      <c r="H15" s="86"/>
      <c r="I15" s="86"/>
      <c r="J15" s="294">
        <f>J13-J10</f>
        <v>1263105612.5334666</v>
      </c>
      <c r="K15" s="80"/>
    </row>
    <row r="16" spans="2:16" ht="15" thickBot="1">
      <c r="B16" s="83" t="s">
        <v>9</v>
      </c>
      <c r="C16" s="79">
        <v>1173923.821551305</v>
      </c>
      <c r="D16" s="80">
        <v>0</v>
      </c>
      <c r="F16" s="12"/>
      <c r="G16" s="6"/>
      <c r="H16" s="6"/>
      <c r="I16" s="6"/>
      <c r="J16" s="248"/>
      <c r="K16" s="13"/>
    </row>
    <row r="17" spans="2:10">
      <c r="B17" s="83" t="s">
        <v>10</v>
      </c>
      <c r="C17" s="79">
        <v>3563175.0416419408</v>
      </c>
      <c r="D17" s="80">
        <v>1</v>
      </c>
      <c r="F17" s="4"/>
      <c r="G17" s="4"/>
      <c r="H17" s="4"/>
      <c r="I17" s="4"/>
    </row>
    <row r="18" spans="2:10">
      <c r="B18" s="83" t="s">
        <v>11</v>
      </c>
      <c r="C18" s="79">
        <v>219761894.10270831</v>
      </c>
      <c r="D18" s="80">
        <v>1</v>
      </c>
      <c r="F18" s="4"/>
      <c r="G18" s="4"/>
      <c r="H18" s="4"/>
      <c r="I18" s="4"/>
      <c r="J18" s="225"/>
    </row>
    <row r="19" spans="2:10">
      <c r="B19" s="83" t="s">
        <v>12</v>
      </c>
      <c r="C19" s="79">
        <v>3578245.1926268088</v>
      </c>
      <c r="D19" s="80">
        <v>0</v>
      </c>
    </row>
    <row r="20" spans="2:10">
      <c r="B20" s="83" t="s">
        <v>13</v>
      </c>
      <c r="C20" s="79">
        <v>6152651.0677726548</v>
      </c>
      <c r="D20" s="80">
        <v>1</v>
      </c>
    </row>
    <row r="21" spans="2:10">
      <c r="B21" s="83" t="s">
        <v>14</v>
      </c>
      <c r="C21" s="79">
        <v>514435951.64319181</v>
      </c>
      <c r="D21" s="80">
        <v>1</v>
      </c>
    </row>
    <row r="22" spans="2:10">
      <c r="B22" s="83" t="s">
        <v>15</v>
      </c>
      <c r="C22" s="79">
        <v>9441527.6936804615</v>
      </c>
      <c r="D22" s="80">
        <v>0</v>
      </c>
    </row>
    <row r="23" spans="2:10">
      <c r="B23" s="83" t="s">
        <v>16</v>
      </c>
      <c r="C23" s="79">
        <v>39303196.759891875</v>
      </c>
      <c r="D23" s="80">
        <v>1</v>
      </c>
    </row>
    <row r="24" spans="2:10">
      <c r="B24" s="83" t="s">
        <v>17</v>
      </c>
      <c r="C24" s="79">
        <v>118896647.61975464</v>
      </c>
      <c r="D24" s="80">
        <v>0</v>
      </c>
    </row>
    <row r="25" spans="2:10">
      <c r="B25" s="83" t="s">
        <v>18</v>
      </c>
      <c r="C25" s="79">
        <v>1238673362.8057156</v>
      </c>
      <c r="D25" s="80">
        <v>0</v>
      </c>
    </row>
    <row r="26" spans="2:10">
      <c r="B26" s="83" t="s">
        <v>19</v>
      </c>
      <c r="C26" s="79">
        <v>85215691.26795429</v>
      </c>
      <c r="D26" s="80">
        <v>0</v>
      </c>
    </row>
    <row r="27" spans="2:10">
      <c r="B27" s="83" t="s">
        <v>20</v>
      </c>
      <c r="C27" s="79">
        <v>20344281.645564787</v>
      </c>
      <c r="D27" s="80">
        <v>1</v>
      </c>
    </row>
    <row r="28" spans="2:10">
      <c r="B28" s="83" t="s">
        <v>21</v>
      </c>
      <c r="C28" s="79">
        <v>1745974.883728428</v>
      </c>
      <c r="D28" s="80">
        <v>1</v>
      </c>
    </row>
    <row r="29" spans="2:10">
      <c r="B29" s="83" t="s">
        <v>22</v>
      </c>
      <c r="C29" s="79">
        <v>2840279.6206160272</v>
      </c>
      <c r="D29" s="80">
        <v>1</v>
      </c>
    </row>
    <row r="30" spans="2:10">
      <c r="B30" s="83" t="s">
        <v>23</v>
      </c>
      <c r="C30" s="79">
        <v>72755974.523758784</v>
      </c>
      <c r="D30" s="80">
        <v>0</v>
      </c>
    </row>
    <row r="31" spans="2:10">
      <c r="B31" s="83" t="s">
        <v>24</v>
      </c>
      <c r="C31" s="79">
        <v>148131533.01652244</v>
      </c>
      <c r="D31" s="80">
        <v>0</v>
      </c>
    </row>
    <row r="32" spans="2:10">
      <c r="B32" s="83" t="s">
        <v>25</v>
      </c>
      <c r="C32" s="79">
        <v>20324597.786637209</v>
      </c>
      <c r="D32" s="80">
        <v>1</v>
      </c>
    </row>
    <row r="33" spans="2:4">
      <c r="B33" s="83" t="s">
        <v>26</v>
      </c>
      <c r="C33" s="79">
        <v>3377291.9841458937</v>
      </c>
      <c r="D33" s="80">
        <v>1</v>
      </c>
    </row>
    <row r="34" spans="2:4">
      <c r="B34" s="83" t="s">
        <v>27</v>
      </c>
      <c r="C34" s="79">
        <v>2287603.6656411672</v>
      </c>
      <c r="D34" s="80">
        <v>1</v>
      </c>
    </row>
    <row r="35" spans="2:4">
      <c r="B35" s="83" t="s">
        <v>28</v>
      </c>
      <c r="C35" s="79">
        <v>4598243.7603103695</v>
      </c>
      <c r="D35" s="80">
        <v>1</v>
      </c>
    </row>
    <row r="36" spans="2:4">
      <c r="B36" s="83" t="s">
        <v>29</v>
      </c>
      <c r="C36" s="79">
        <v>932590.19211592874</v>
      </c>
      <c r="D36" s="80">
        <v>1</v>
      </c>
    </row>
    <row r="37" spans="2:4">
      <c r="B37" s="83" t="s">
        <v>30</v>
      </c>
      <c r="C37" s="79">
        <v>4638706.1212622561</v>
      </c>
      <c r="D37" s="80">
        <v>1</v>
      </c>
    </row>
    <row r="38" spans="2:4">
      <c r="B38" s="83" t="s">
        <v>31</v>
      </c>
      <c r="C38" s="79">
        <v>9361074.6669112369</v>
      </c>
      <c r="D38" s="80">
        <v>1</v>
      </c>
    </row>
    <row r="39" spans="2:4">
      <c r="B39" s="83" t="s">
        <v>32</v>
      </c>
      <c r="C39" s="79">
        <v>250788738.3525047</v>
      </c>
      <c r="D39" s="80">
        <v>1</v>
      </c>
    </row>
    <row r="40" spans="2:4">
      <c r="B40" s="83" t="s">
        <v>33</v>
      </c>
      <c r="C40" s="79">
        <v>8456960.3503578827</v>
      </c>
      <c r="D40" s="80">
        <v>0</v>
      </c>
    </row>
    <row r="41" spans="2:4">
      <c r="B41" s="83" t="s">
        <v>34</v>
      </c>
      <c r="C41" s="79">
        <v>17161356.345315624</v>
      </c>
      <c r="D41" s="80">
        <v>0</v>
      </c>
    </row>
    <row r="42" spans="2:4">
      <c r="B42" s="83" t="s">
        <v>35</v>
      </c>
      <c r="C42" s="79">
        <v>590737.56898979447</v>
      </c>
      <c r="D42" s="80">
        <v>1</v>
      </c>
    </row>
    <row r="43" spans="2:4">
      <c r="B43" s="83" t="s">
        <v>36</v>
      </c>
      <c r="C43" s="79">
        <v>15843689.376575859</v>
      </c>
      <c r="D43" s="80">
        <v>1</v>
      </c>
    </row>
    <row r="44" spans="2:4">
      <c r="B44" s="83" t="s">
        <v>37</v>
      </c>
      <c r="C44" s="79">
        <v>14413683.446157252</v>
      </c>
      <c r="D44" s="80">
        <v>1</v>
      </c>
    </row>
    <row r="45" spans="2:4">
      <c r="B45" s="83" t="s">
        <v>38</v>
      </c>
      <c r="C45" s="79">
        <v>21309236.085548431</v>
      </c>
      <c r="D45" s="80">
        <v>1</v>
      </c>
    </row>
    <row r="46" spans="2:4">
      <c r="B46" s="83" t="s">
        <v>39</v>
      </c>
      <c r="C46" s="79">
        <v>26265172.725504484</v>
      </c>
      <c r="D46" s="80">
        <v>1</v>
      </c>
    </row>
    <row r="47" spans="2:4">
      <c r="B47" s="83" t="s">
        <v>40</v>
      </c>
      <c r="C47" s="79">
        <v>54884389.778108679</v>
      </c>
      <c r="D47" s="80">
        <v>0</v>
      </c>
    </row>
    <row r="48" spans="2:4">
      <c r="B48" s="83" t="s">
        <v>41</v>
      </c>
      <c r="C48" s="79">
        <v>7508983.4156666249</v>
      </c>
      <c r="D48" s="80">
        <v>0</v>
      </c>
    </row>
    <row r="49" spans="2:5">
      <c r="B49" s="83" t="s">
        <v>42</v>
      </c>
      <c r="C49" s="79">
        <v>21956100.903254069</v>
      </c>
      <c r="D49" s="80">
        <v>1</v>
      </c>
    </row>
    <row r="50" spans="2:5">
      <c r="B50" s="83" t="s">
        <v>43</v>
      </c>
      <c r="C50" s="79">
        <v>12285076.828213345</v>
      </c>
      <c r="D50" s="80">
        <v>1</v>
      </c>
    </row>
    <row r="51" spans="2:5">
      <c r="B51" s="83" t="s">
        <v>44</v>
      </c>
      <c r="C51" s="79">
        <v>39305456.047142178</v>
      </c>
      <c r="D51" s="80">
        <v>1</v>
      </c>
    </row>
    <row r="52" spans="2:5" ht="15" thickBot="1">
      <c r="B52" s="84" t="s">
        <v>45</v>
      </c>
      <c r="C52" s="81">
        <v>20025839.365618654</v>
      </c>
      <c r="D52" s="82">
        <v>0</v>
      </c>
    </row>
    <row r="53" spans="2:5" s="6" customFormat="1" ht="15" thickBot="1">
      <c r="B53" s="295" t="s">
        <v>122</v>
      </c>
      <c r="C53" s="81">
        <f>SUM(C9:C52)</f>
        <v>4271344492.2259369</v>
      </c>
      <c r="E53" s="306" t="s">
        <v>281</v>
      </c>
    </row>
  </sheetData>
  <sheetProtection algorithmName="SHA-512" hashValue="rWST6v3qYv/jO7Y3SdUggWZYkdZk6i3tHem6dZRLGfMoRhE4gAobILqHB0ypZazKWjNzp5bwyiZYhok7jcGbDg==" saltValue="P2HmI2hxOsG4ENjqHV6rDg==" spinCount="100000" sheet="1" objects="1" scenarios="1"/>
  <mergeCells count="1">
    <mergeCell ref="B7:D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
  <sheetViews>
    <sheetView showGridLines="0" zoomScale="80" zoomScaleNormal="80" workbookViewId="0">
      <selection activeCell="C38" sqref="C38"/>
    </sheetView>
  </sheetViews>
  <sheetFormatPr defaultColWidth="0" defaultRowHeight="14.4" zeroHeight="1"/>
  <cols>
    <col min="1" max="1" width="8.88671875" customWidth="1"/>
    <col min="2" max="2" width="8.88671875" style="74" customWidth="1"/>
    <col min="3" max="3" width="33.109375" style="74" customWidth="1"/>
    <col min="4" max="4" width="29" style="74" customWidth="1"/>
    <col min="5" max="24" width="8.88671875" style="74" customWidth="1"/>
    <col min="25" max="16384" width="8.88671875" hidden="1"/>
  </cols>
  <sheetData>
    <row r="1" spans="2:24" s="5" customFormat="1" ht="17.399999999999999">
      <c r="B1" s="85" t="s">
        <v>249</v>
      </c>
      <c r="C1" s="74"/>
      <c r="D1" s="74"/>
      <c r="E1" s="74"/>
      <c r="F1" s="74"/>
      <c r="G1" s="74"/>
      <c r="H1" s="74"/>
      <c r="I1" s="74"/>
      <c r="J1" s="74"/>
      <c r="K1" s="74"/>
      <c r="L1" s="74"/>
      <c r="M1" s="74"/>
      <c r="N1" s="74"/>
      <c r="O1" s="74"/>
      <c r="P1" s="74"/>
      <c r="Q1" s="74"/>
      <c r="R1" s="74"/>
      <c r="S1" s="74"/>
      <c r="T1" s="74"/>
      <c r="U1" s="74"/>
      <c r="V1" s="74"/>
      <c r="W1" s="74"/>
      <c r="X1" s="74"/>
    </row>
    <row r="2" spans="2:24" s="5" customFormat="1">
      <c r="B2" s="86" t="s">
        <v>250</v>
      </c>
      <c r="C2" s="86"/>
      <c r="D2" s="86"/>
      <c r="E2" s="74"/>
      <c r="F2" s="74"/>
      <c r="G2" s="74"/>
      <c r="H2" s="74"/>
      <c r="I2" s="74"/>
      <c r="J2" s="74"/>
      <c r="K2" s="74"/>
      <c r="L2" s="74"/>
      <c r="M2" s="74"/>
      <c r="N2" s="74"/>
      <c r="O2" s="74"/>
      <c r="P2" s="74"/>
      <c r="Q2" s="74"/>
      <c r="R2" s="74"/>
      <c r="S2" s="74"/>
      <c r="T2" s="74"/>
      <c r="U2" s="74"/>
      <c r="V2" s="74"/>
      <c r="W2" s="74"/>
      <c r="X2" s="74"/>
    </row>
    <row r="3" spans="2:24" s="6" customFormat="1" ht="15" thickBot="1">
      <c r="B3" s="87"/>
      <c r="C3" s="87"/>
      <c r="D3" s="87"/>
      <c r="E3" s="87"/>
      <c r="F3" s="87"/>
      <c r="G3" s="87"/>
      <c r="H3" s="87"/>
      <c r="I3" s="87"/>
      <c r="J3" s="87"/>
      <c r="K3" s="87"/>
      <c r="L3" s="87"/>
      <c r="M3" s="87"/>
      <c r="N3" s="87"/>
      <c r="O3" s="87"/>
      <c r="P3" s="87"/>
      <c r="Q3" s="87"/>
      <c r="R3" s="87"/>
      <c r="S3" s="87"/>
      <c r="T3" s="87"/>
      <c r="U3" s="87"/>
      <c r="V3" s="87"/>
      <c r="W3" s="87"/>
      <c r="X3" s="87"/>
    </row>
    <row r="4" spans="2:24">
      <c r="B4" s="88" t="s">
        <v>85</v>
      </c>
      <c r="C4" s="88"/>
      <c r="D4" s="88"/>
      <c r="E4" s="88"/>
      <c r="F4" s="88"/>
    </row>
    <row r="5" spans="2:24" s="5" customFormat="1">
      <c r="B5" s="88"/>
      <c r="C5" s="88"/>
      <c r="D5" s="88"/>
      <c r="E5" s="88"/>
      <c r="F5" s="88"/>
      <c r="G5" s="74"/>
      <c r="H5" s="74"/>
      <c r="I5" s="74"/>
      <c r="J5" s="74"/>
      <c r="K5" s="74"/>
      <c r="L5" s="74"/>
      <c r="M5" s="74"/>
      <c r="N5" s="74"/>
      <c r="O5" s="74"/>
      <c r="P5" s="74"/>
      <c r="Q5" s="74"/>
      <c r="R5" s="74"/>
      <c r="S5" s="74"/>
      <c r="T5" s="74"/>
      <c r="U5" s="74"/>
      <c r="V5" s="74"/>
      <c r="W5" s="74"/>
      <c r="X5" s="74"/>
    </row>
    <row r="6" spans="2:24" s="5" customFormat="1">
      <c r="B6" s="117" t="s">
        <v>145</v>
      </c>
      <c r="C6" s="117"/>
      <c r="D6" s="117"/>
      <c r="E6" s="117"/>
      <c r="F6" s="117"/>
      <c r="G6" s="117"/>
      <c r="H6" s="117"/>
      <c r="I6" s="117"/>
      <c r="J6" s="117"/>
      <c r="K6" s="117"/>
      <c r="L6" s="117"/>
      <c r="M6" s="117"/>
      <c r="N6" s="117"/>
      <c r="O6" s="117"/>
      <c r="P6" s="116"/>
      <c r="Q6" s="116"/>
      <c r="R6" s="74"/>
      <c r="S6" s="74"/>
      <c r="T6" s="74"/>
      <c r="U6" s="74"/>
      <c r="V6" s="74"/>
      <c r="W6" s="74"/>
      <c r="X6" s="74"/>
    </row>
    <row r="7" spans="2:24" s="5" customFormat="1">
      <c r="B7" s="88"/>
      <c r="C7" s="88"/>
      <c r="D7" s="88"/>
      <c r="E7" s="88"/>
      <c r="F7" s="88"/>
      <c r="G7" s="74"/>
      <c r="H7" s="74"/>
      <c r="I7" s="74"/>
      <c r="J7" s="74"/>
      <c r="K7" s="74"/>
      <c r="L7" s="74"/>
      <c r="M7" s="74"/>
      <c r="N7" s="74"/>
      <c r="O7" s="74"/>
      <c r="P7" s="74"/>
      <c r="Q7" s="74"/>
      <c r="R7" s="74"/>
      <c r="S7" s="74"/>
      <c r="T7" s="74"/>
      <c r="U7" s="74"/>
      <c r="V7" s="74"/>
      <c r="W7" s="74"/>
      <c r="X7" s="74"/>
    </row>
    <row r="8" spans="2:24">
      <c r="E8" s="88">
        <v>2000</v>
      </c>
      <c r="F8" s="88">
        <v>2001</v>
      </c>
      <c r="G8" s="88">
        <v>2002</v>
      </c>
      <c r="H8" s="88">
        <v>2003</v>
      </c>
      <c r="I8" s="88">
        <v>2004</v>
      </c>
      <c r="J8" s="88">
        <v>2005</v>
      </c>
      <c r="K8" s="88">
        <v>2006</v>
      </c>
      <c r="L8" s="88">
        <v>2007</v>
      </c>
      <c r="M8" s="88">
        <v>2008</v>
      </c>
      <c r="N8" s="88">
        <v>2009</v>
      </c>
      <c r="O8" s="88">
        <v>2010</v>
      </c>
      <c r="P8" s="88">
        <v>2011</v>
      </c>
      <c r="Q8" s="88">
        <v>2012</v>
      </c>
      <c r="R8" s="88">
        <v>2013</v>
      </c>
      <c r="S8" s="88">
        <v>2014</v>
      </c>
      <c r="T8" s="88">
        <v>2015</v>
      </c>
      <c r="U8" s="88">
        <v>2016</v>
      </c>
      <c r="V8" s="88">
        <v>2017</v>
      </c>
      <c r="W8" s="88">
        <v>2018</v>
      </c>
    </row>
    <row r="9" spans="2:24">
      <c r="C9" s="88" t="s">
        <v>86</v>
      </c>
      <c r="D9" s="74" t="s">
        <v>89</v>
      </c>
      <c r="E9" s="74">
        <v>2.14</v>
      </c>
      <c r="F9" s="74">
        <v>0.08</v>
      </c>
      <c r="G9" s="74">
        <v>-0.9</v>
      </c>
      <c r="H9" s="74">
        <v>0.53</v>
      </c>
      <c r="I9" s="74">
        <v>3.54</v>
      </c>
      <c r="J9" s="74">
        <v>-0.69</v>
      </c>
      <c r="K9" s="74">
        <v>5.74</v>
      </c>
      <c r="L9" s="74">
        <v>0.01</v>
      </c>
      <c r="M9" s="74">
        <v>-1.51</v>
      </c>
      <c r="N9" s="74">
        <v>-4.63</v>
      </c>
      <c r="O9" s="74">
        <v>8.43</v>
      </c>
      <c r="P9" s="74">
        <v>3.71</v>
      </c>
      <c r="Q9" s="74">
        <v>4.84</v>
      </c>
      <c r="R9" s="74">
        <v>3.19</v>
      </c>
      <c r="S9" s="74">
        <v>0.36</v>
      </c>
      <c r="T9" s="74">
        <v>-2.69</v>
      </c>
      <c r="U9" s="74">
        <v>2.86</v>
      </c>
      <c r="V9" s="74">
        <v>0.7</v>
      </c>
      <c r="W9" s="74">
        <v>4.7</v>
      </c>
    </row>
    <row r="10" spans="2:24">
      <c r="D10" s="74" t="s">
        <v>87</v>
      </c>
      <c r="E10" s="74">
        <v>2.82</v>
      </c>
      <c r="F10" s="74">
        <v>-1.1299999999999999</v>
      </c>
      <c r="G10" s="74">
        <v>-0.62</v>
      </c>
      <c r="H10" s="74">
        <v>0.96</v>
      </c>
      <c r="I10" s="74">
        <v>2</v>
      </c>
      <c r="J10" s="74">
        <v>0.6</v>
      </c>
      <c r="K10" s="74">
        <v>1.48</v>
      </c>
      <c r="L10" s="74">
        <v>-1.19</v>
      </c>
      <c r="M10" s="74">
        <v>-2.0699999999999998</v>
      </c>
      <c r="N10" s="74">
        <v>-3.13</v>
      </c>
      <c r="O10" s="74">
        <v>3.2</v>
      </c>
      <c r="P10" s="74">
        <v>0.55000000000000004</v>
      </c>
      <c r="Q10" s="74">
        <v>0.86</v>
      </c>
      <c r="R10" s="74">
        <v>0.64</v>
      </c>
      <c r="S10" s="74">
        <v>0.57999999999999996</v>
      </c>
      <c r="T10" s="74">
        <v>0.52</v>
      </c>
      <c r="U10" s="74">
        <v>1.1399999999999999</v>
      </c>
      <c r="V10" s="74">
        <v>0.46</v>
      </c>
      <c r="W10" s="74">
        <v>2.58</v>
      </c>
    </row>
    <row r="11" spans="2:24">
      <c r="C11" s="88" t="s">
        <v>91</v>
      </c>
      <c r="D11" s="74" t="s">
        <v>89</v>
      </c>
      <c r="E11" s="74">
        <v>0.95</v>
      </c>
      <c r="F11" s="74">
        <v>1.87</v>
      </c>
      <c r="G11" s="74">
        <v>0.25</v>
      </c>
      <c r="H11" s="74">
        <v>0.26</v>
      </c>
      <c r="I11" s="74">
        <v>1.07</v>
      </c>
      <c r="J11" s="74">
        <v>0.5</v>
      </c>
      <c r="K11" s="74">
        <v>1.61</v>
      </c>
      <c r="L11" s="74">
        <v>1.8</v>
      </c>
      <c r="M11" s="74">
        <v>1.38</v>
      </c>
      <c r="N11" s="74">
        <v>-0.27</v>
      </c>
      <c r="O11" s="74">
        <v>1.5</v>
      </c>
      <c r="P11" s="74">
        <v>1.1100000000000001</v>
      </c>
      <c r="Q11" s="74">
        <v>2.06</v>
      </c>
      <c r="R11" s="74">
        <v>3.02</v>
      </c>
      <c r="S11" s="74">
        <v>4.07</v>
      </c>
      <c r="T11" s="74">
        <v>1.84</v>
      </c>
      <c r="U11" s="74">
        <v>1.68</v>
      </c>
      <c r="V11" s="74">
        <v>0.86</v>
      </c>
      <c r="W11" s="74">
        <v>1.1599999999999999</v>
      </c>
    </row>
    <row r="12" spans="2:24">
      <c r="D12" s="74" t="s">
        <v>87</v>
      </c>
      <c r="E12" s="74">
        <v>0.65</v>
      </c>
      <c r="F12" s="74">
        <v>0.33</v>
      </c>
      <c r="G12" s="74">
        <v>0.13</v>
      </c>
      <c r="H12" s="74">
        <v>0.56999999999999995</v>
      </c>
      <c r="I12" s="74">
        <v>0.8</v>
      </c>
      <c r="J12" s="74">
        <v>0.36</v>
      </c>
      <c r="K12" s="74">
        <v>0.88</v>
      </c>
      <c r="L12" s="74">
        <v>0.77</v>
      </c>
      <c r="M12" s="74">
        <v>0.15</v>
      </c>
      <c r="N12" s="74">
        <v>-0.88</v>
      </c>
      <c r="O12" s="74">
        <v>-0.37</v>
      </c>
      <c r="P12" s="74">
        <v>-0.55000000000000004</v>
      </c>
      <c r="Q12" s="74">
        <v>-0.14000000000000001</v>
      </c>
      <c r="R12" s="74">
        <v>0.4</v>
      </c>
      <c r="S12" s="74">
        <v>1.1599999999999999</v>
      </c>
      <c r="T12" s="74">
        <v>0.63</v>
      </c>
      <c r="U12" s="74">
        <v>0.75</v>
      </c>
      <c r="V12" s="74">
        <v>0.67</v>
      </c>
      <c r="W12" s="74">
        <v>1.05</v>
      </c>
    </row>
    <row r="13" spans="2:24">
      <c r="C13" s="88" t="s">
        <v>88</v>
      </c>
      <c r="D13" s="74" t="s">
        <v>89</v>
      </c>
      <c r="E13" s="74">
        <f>1+E9/100</f>
        <v>1.0214000000000001</v>
      </c>
      <c r="F13" s="74">
        <f t="shared" ref="F13:W13" si="0">1+F9/100</f>
        <v>1.0007999999999999</v>
      </c>
      <c r="G13" s="74">
        <f t="shared" si="0"/>
        <v>0.99099999999999999</v>
      </c>
      <c r="H13" s="74">
        <f t="shared" si="0"/>
        <v>1.0053000000000001</v>
      </c>
      <c r="I13" s="74">
        <f t="shared" si="0"/>
        <v>1.0354000000000001</v>
      </c>
      <c r="J13" s="74">
        <f t="shared" si="0"/>
        <v>0.99309999999999998</v>
      </c>
      <c r="K13" s="74">
        <f t="shared" si="0"/>
        <v>1.0573999999999999</v>
      </c>
      <c r="L13" s="74">
        <f t="shared" si="0"/>
        <v>1.0001</v>
      </c>
      <c r="M13" s="74">
        <f t="shared" si="0"/>
        <v>0.9849</v>
      </c>
      <c r="N13" s="74">
        <f t="shared" si="0"/>
        <v>0.95369999999999999</v>
      </c>
      <c r="O13" s="74">
        <f t="shared" si="0"/>
        <v>1.0843</v>
      </c>
      <c r="P13" s="74">
        <f t="shared" si="0"/>
        <v>1.0370999999999999</v>
      </c>
      <c r="Q13" s="74">
        <f t="shared" si="0"/>
        <v>1.0484</v>
      </c>
      <c r="R13" s="74">
        <f t="shared" si="0"/>
        <v>1.0319</v>
      </c>
      <c r="S13" s="74">
        <f t="shared" si="0"/>
        <v>1.0036</v>
      </c>
      <c r="T13" s="74">
        <f t="shared" si="0"/>
        <v>0.97309999999999997</v>
      </c>
      <c r="U13" s="74">
        <f t="shared" si="0"/>
        <v>1.0286</v>
      </c>
      <c r="V13" s="74">
        <f t="shared" si="0"/>
        <v>1.0069999999999999</v>
      </c>
      <c r="W13" s="74">
        <f t="shared" si="0"/>
        <v>1.0469999999999999</v>
      </c>
    </row>
    <row r="14" spans="2:24">
      <c r="D14" s="74" t="s">
        <v>87</v>
      </c>
      <c r="E14" s="74">
        <f>1+E10/100</f>
        <v>1.0282</v>
      </c>
      <c r="F14" s="74">
        <f t="shared" ref="F14:W14" si="1">1+F10/100</f>
        <v>0.98870000000000002</v>
      </c>
      <c r="G14" s="74">
        <f t="shared" si="1"/>
        <v>0.99380000000000002</v>
      </c>
      <c r="H14" s="74">
        <f t="shared" si="1"/>
        <v>1.0096000000000001</v>
      </c>
      <c r="I14" s="74">
        <f t="shared" si="1"/>
        <v>1.02</v>
      </c>
      <c r="J14" s="74">
        <f t="shared" si="1"/>
        <v>1.006</v>
      </c>
      <c r="K14" s="74">
        <f t="shared" si="1"/>
        <v>1.0147999999999999</v>
      </c>
      <c r="L14" s="74">
        <f t="shared" si="1"/>
        <v>0.98809999999999998</v>
      </c>
      <c r="M14" s="74">
        <f t="shared" si="1"/>
        <v>0.97929999999999995</v>
      </c>
      <c r="N14" s="74">
        <f t="shared" si="1"/>
        <v>0.96870000000000001</v>
      </c>
      <c r="O14" s="74">
        <f t="shared" si="1"/>
        <v>1.032</v>
      </c>
      <c r="P14" s="74">
        <f t="shared" si="1"/>
        <v>1.0055000000000001</v>
      </c>
      <c r="Q14" s="74">
        <f t="shared" si="1"/>
        <v>1.0085999999999999</v>
      </c>
      <c r="R14" s="74">
        <f t="shared" si="1"/>
        <v>1.0064</v>
      </c>
      <c r="S14" s="74">
        <f t="shared" si="1"/>
        <v>1.0058</v>
      </c>
      <c r="T14" s="74">
        <f t="shared" si="1"/>
        <v>1.0052000000000001</v>
      </c>
      <c r="U14" s="74">
        <f t="shared" si="1"/>
        <v>1.0114000000000001</v>
      </c>
      <c r="V14" s="74">
        <f t="shared" si="1"/>
        <v>1.0045999999999999</v>
      </c>
      <c r="W14" s="74">
        <f t="shared" si="1"/>
        <v>1.0258</v>
      </c>
    </row>
    <row r="15" spans="2:24">
      <c r="C15" s="88" t="s">
        <v>92</v>
      </c>
      <c r="D15" s="74" t="s">
        <v>89</v>
      </c>
      <c r="N15" s="89">
        <f>(GEOMEAN(E13:N13)-1)*100</f>
        <v>0.39452478020209902</v>
      </c>
      <c r="O15" s="89">
        <f t="shared" ref="O15:W15" si="2">(GEOMEAN(F13:O13)-1)*100</f>
        <v>0.99628257091406436</v>
      </c>
      <c r="P15" s="89">
        <f t="shared" si="2"/>
        <v>1.356760744965313</v>
      </c>
      <c r="Q15" s="89">
        <f t="shared" si="2"/>
        <v>1.9290691908270707</v>
      </c>
      <c r="R15" s="89">
        <f t="shared" si="2"/>
        <v>2.1956125861394282</v>
      </c>
      <c r="S15" s="89">
        <f t="shared" si="2"/>
        <v>1.877317336637585</v>
      </c>
      <c r="T15" s="89">
        <f t="shared" si="2"/>
        <v>1.6702635970817559</v>
      </c>
      <c r="U15" s="89">
        <f t="shared" si="2"/>
        <v>1.3898944476246067</v>
      </c>
      <c r="V15" s="89">
        <f t="shared" si="2"/>
        <v>1.4596302445063714</v>
      </c>
      <c r="W15" s="89">
        <f t="shared" si="2"/>
        <v>2.0818964555123998</v>
      </c>
    </row>
    <row r="16" spans="2:24">
      <c r="D16" s="74" t="s">
        <v>87</v>
      </c>
      <c r="N16" s="89">
        <f>(GEOMEAN(E14:N14)-1)*100</f>
        <v>-4.4314191546213078E-2</v>
      </c>
      <c r="O16" s="89">
        <f t="shared" ref="O16:W16" si="3">(GEOMEAN(F14:O14)-1)*100</f>
        <v>-7.4340726438526517E-3</v>
      </c>
      <c r="P16" s="89">
        <f t="shared" si="3"/>
        <v>0.16118802257580889</v>
      </c>
      <c r="Q16" s="89">
        <f t="shared" si="3"/>
        <v>0.30936109567114567</v>
      </c>
      <c r="R16" s="89">
        <f t="shared" si="3"/>
        <v>0.27752188142446954</v>
      </c>
      <c r="S16" s="89">
        <f t="shared" si="3"/>
        <v>0.13703748571163299</v>
      </c>
      <c r="T16" s="89">
        <f t="shared" si="3"/>
        <v>0.12907145073179915</v>
      </c>
      <c r="U16" s="89">
        <f t="shared" si="3"/>
        <v>9.5473381193156293E-2</v>
      </c>
      <c r="V16" s="89">
        <f t="shared" si="3"/>
        <v>0.26137707130498011</v>
      </c>
      <c r="W16" s="89">
        <f t="shared" si="3"/>
        <v>0.72757054371512808</v>
      </c>
    </row>
    <row r="17" spans="2:24" s="5" customFormat="1">
      <c r="B17" s="74"/>
      <c r="C17" s="74"/>
      <c r="D17" s="74"/>
      <c r="E17" s="74"/>
      <c r="F17" s="74"/>
      <c r="G17" s="74"/>
      <c r="H17" s="74"/>
      <c r="I17" s="74"/>
      <c r="J17" s="74"/>
      <c r="K17" s="74"/>
      <c r="L17" s="74"/>
      <c r="M17" s="74"/>
      <c r="N17" s="89"/>
      <c r="O17" s="89"/>
      <c r="P17" s="89"/>
      <c r="Q17" s="89"/>
      <c r="R17" s="89"/>
      <c r="S17" s="89"/>
      <c r="T17" s="89"/>
      <c r="U17" s="89"/>
      <c r="V17" s="89"/>
      <c r="W17" s="89"/>
      <c r="X17" s="74"/>
    </row>
    <row r="18" spans="2:24"/>
    <row r="19" spans="2:24">
      <c r="B19" s="117" t="s">
        <v>146</v>
      </c>
      <c r="C19" s="117"/>
      <c r="D19" s="117"/>
      <c r="E19" s="117"/>
      <c r="F19" s="117"/>
      <c r="G19" s="117"/>
      <c r="H19" s="117"/>
      <c r="I19" s="117"/>
      <c r="J19" s="117"/>
      <c r="K19" s="117"/>
      <c r="L19" s="117"/>
      <c r="M19" s="117"/>
      <c r="N19" s="117"/>
      <c r="O19" s="117"/>
      <c r="P19" s="116"/>
    </row>
    <row r="20" spans="2:24"/>
    <row r="21" spans="2:24">
      <c r="E21" s="88">
        <v>2000</v>
      </c>
      <c r="F21" s="88">
        <v>2001</v>
      </c>
      <c r="G21" s="88">
        <v>2002</v>
      </c>
      <c r="H21" s="88">
        <v>2003</v>
      </c>
      <c r="I21" s="88">
        <v>2004</v>
      </c>
      <c r="J21" s="88">
        <v>2005</v>
      </c>
      <c r="K21" s="88">
        <v>2006</v>
      </c>
      <c r="L21" s="88">
        <v>2007</v>
      </c>
      <c r="M21" s="88">
        <v>2008</v>
      </c>
      <c r="N21" s="88">
        <v>2009</v>
      </c>
      <c r="O21" s="88">
        <v>2010</v>
      </c>
      <c r="P21" s="88">
        <v>2011</v>
      </c>
      <c r="Q21" s="88">
        <v>2012</v>
      </c>
      <c r="R21" s="88">
        <v>2013</v>
      </c>
      <c r="S21" s="88">
        <v>2014</v>
      </c>
      <c r="T21" s="88">
        <v>2015</v>
      </c>
      <c r="U21" s="88">
        <v>2016</v>
      </c>
      <c r="V21" s="88">
        <v>2017</v>
      </c>
      <c r="W21" s="88">
        <v>2018</v>
      </c>
    </row>
    <row r="22" spans="2:24">
      <c r="C22" s="88" t="s">
        <v>93</v>
      </c>
      <c r="D22" s="88"/>
      <c r="E22" s="74">
        <v>1.4</v>
      </c>
      <c r="F22" s="74">
        <v>1.02</v>
      </c>
      <c r="G22" s="74">
        <v>0.82</v>
      </c>
      <c r="H22" s="74">
        <v>1.49</v>
      </c>
      <c r="I22" s="74">
        <v>1.86</v>
      </c>
      <c r="J22" s="74">
        <v>1.53</v>
      </c>
      <c r="K22" s="74">
        <v>1.97</v>
      </c>
      <c r="L22" s="74">
        <v>1.74</v>
      </c>
      <c r="M22" s="74">
        <v>0.83</v>
      </c>
      <c r="N22" s="74">
        <v>0.28000000000000003</v>
      </c>
      <c r="O22" s="74">
        <v>0.92</v>
      </c>
      <c r="P22" s="74">
        <v>0.56000000000000005</v>
      </c>
      <c r="Q22" s="74">
        <v>1.0900000000000001</v>
      </c>
      <c r="R22" s="74">
        <v>1.64</v>
      </c>
      <c r="S22" s="74">
        <v>1.76</v>
      </c>
      <c r="T22" s="74">
        <v>0.98</v>
      </c>
      <c r="U22" s="74">
        <v>1.19</v>
      </c>
      <c r="V22" s="74">
        <v>0.97</v>
      </c>
      <c r="W22" s="74">
        <v>1.43</v>
      </c>
    </row>
    <row r="23" spans="2:24">
      <c r="C23" s="88" t="s">
        <v>90</v>
      </c>
      <c r="D23" s="88"/>
      <c r="E23" s="74">
        <v>3.28</v>
      </c>
      <c r="F23" s="74">
        <v>-0.41</v>
      </c>
      <c r="G23" s="74">
        <v>0.55000000000000004</v>
      </c>
      <c r="H23" s="74">
        <v>2.8</v>
      </c>
      <c r="I23" s="74">
        <v>3.14</v>
      </c>
      <c r="J23" s="74">
        <v>1.59</v>
      </c>
      <c r="K23" s="74">
        <v>1.8</v>
      </c>
      <c r="L23" s="74">
        <v>-0.61</v>
      </c>
      <c r="M23" s="74">
        <v>-1.7</v>
      </c>
      <c r="N23" s="74">
        <v>0.38</v>
      </c>
      <c r="O23" s="74">
        <v>4.83</v>
      </c>
      <c r="P23" s="74">
        <v>-0.01</v>
      </c>
      <c r="Q23" s="74">
        <v>2.0499999999999998</v>
      </c>
      <c r="R23" s="74">
        <v>1.04</v>
      </c>
      <c r="S23" s="74">
        <v>0.95</v>
      </c>
      <c r="T23" s="74">
        <v>0.88</v>
      </c>
      <c r="U23" s="74">
        <v>1.05</v>
      </c>
      <c r="V23" s="74">
        <v>0.91</v>
      </c>
      <c r="W23" s="74">
        <v>3.36</v>
      </c>
    </row>
    <row r="24" spans="2:24">
      <c r="C24" s="88" t="s">
        <v>88</v>
      </c>
      <c r="D24" s="88"/>
      <c r="E24" s="74">
        <f>1+E23/100</f>
        <v>1.0327999999999999</v>
      </c>
      <c r="F24" s="74">
        <f t="shared" ref="F24:W24" si="4">1+F23/100</f>
        <v>0.99590000000000001</v>
      </c>
      <c r="G24" s="74">
        <f t="shared" si="4"/>
        <v>1.0055000000000001</v>
      </c>
      <c r="H24" s="74">
        <f t="shared" si="4"/>
        <v>1.028</v>
      </c>
      <c r="I24" s="74">
        <f t="shared" si="4"/>
        <v>1.0314000000000001</v>
      </c>
      <c r="J24" s="74">
        <f t="shared" si="4"/>
        <v>1.0159</v>
      </c>
      <c r="K24" s="74">
        <f t="shared" si="4"/>
        <v>1.018</v>
      </c>
      <c r="L24" s="74">
        <f t="shared" si="4"/>
        <v>0.99390000000000001</v>
      </c>
      <c r="M24" s="74">
        <f t="shared" si="4"/>
        <v>0.98299999999999998</v>
      </c>
      <c r="N24" s="74">
        <f t="shared" si="4"/>
        <v>1.0038</v>
      </c>
      <c r="O24" s="74">
        <f t="shared" si="4"/>
        <v>1.0483</v>
      </c>
      <c r="P24" s="74">
        <f t="shared" si="4"/>
        <v>0.99990000000000001</v>
      </c>
      <c r="Q24" s="74">
        <f t="shared" si="4"/>
        <v>1.0205</v>
      </c>
      <c r="R24" s="74">
        <f t="shared" si="4"/>
        <v>1.0104</v>
      </c>
      <c r="S24" s="74">
        <f t="shared" si="4"/>
        <v>1.0095000000000001</v>
      </c>
      <c r="T24" s="74">
        <f t="shared" si="4"/>
        <v>1.0087999999999999</v>
      </c>
      <c r="U24" s="74">
        <f t="shared" si="4"/>
        <v>1.0105</v>
      </c>
      <c r="V24" s="74">
        <f t="shared" si="4"/>
        <v>1.0091000000000001</v>
      </c>
      <c r="W24" s="74">
        <f t="shared" si="4"/>
        <v>1.0336000000000001</v>
      </c>
    </row>
    <row r="25" spans="2:24">
      <c r="C25" s="88" t="s">
        <v>108</v>
      </c>
      <c r="D25" s="88"/>
      <c r="N25" s="74">
        <f>(GEOMEAN(E24:N24)-1)*100</f>
        <v>1.0689238837087389</v>
      </c>
      <c r="O25" s="74">
        <f t="shared" ref="O25:W25" si="5">(GEOMEAN(F24:O24)-1)*100</f>
        <v>1.2195908087634599</v>
      </c>
      <c r="P25" s="74">
        <f t="shared" si="5"/>
        <v>1.2601720355886803</v>
      </c>
      <c r="Q25" s="74">
        <f t="shared" si="5"/>
        <v>1.4102268715886268</v>
      </c>
      <c r="R25" s="74">
        <f t="shared" si="5"/>
        <v>1.2352539414122399</v>
      </c>
      <c r="S25" s="74">
        <f t="shared" si="5"/>
        <v>1.018216393390281</v>
      </c>
      <c r="T25" s="74">
        <f t="shared" si="5"/>
        <v>0.94739298026482732</v>
      </c>
      <c r="U25" s="74">
        <f t="shared" si="5"/>
        <v>0.87277340539457793</v>
      </c>
      <c r="V25" s="74">
        <f t="shared" si="5"/>
        <v>1.0259895571115285</v>
      </c>
      <c r="W25" s="74">
        <f t="shared" si="5"/>
        <v>1.5343543152608996</v>
      </c>
    </row>
    <row r="26" spans="2:24">
      <c r="C26" s="88"/>
      <c r="D26" s="88"/>
    </row>
    <row r="27" spans="2:24"/>
    <row r="28" spans="2:24" s="6" customFormat="1" ht="15" thickBot="1">
      <c r="B28" s="87"/>
      <c r="C28" s="87" t="s">
        <v>129</v>
      </c>
      <c r="D28" s="87"/>
      <c r="E28" s="87"/>
      <c r="F28" s="87"/>
      <c r="G28" s="87"/>
      <c r="H28" s="87"/>
      <c r="I28" s="87"/>
      <c r="J28" s="87"/>
      <c r="K28" s="87"/>
      <c r="L28" s="87"/>
      <c r="M28" s="87"/>
      <c r="N28" s="87"/>
      <c r="O28" s="87"/>
      <c r="P28" s="87"/>
      <c r="Q28" s="87"/>
      <c r="R28" s="87"/>
      <c r="S28" s="87"/>
      <c r="T28" s="87"/>
      <c r="U28" s="87"/>
      <c r="V28" s="87"/>
      <c r="W28" s="87"/>
      <c r="X28" s="87"/>
    </row>
    <row r="29" spans="2:24"/>
    <row r="30" spans="2:24">
      <c r="C30" s="88" t="s">
        <v>143</v>
      </c>
      <c r="D30" s="88"/>
      <c r="E30" s="88"/>
      <c r="F30" s="88"/>
    </row>
    <row r="31" spans="2:24" ht="15" thickBot="1">
      <c r="G31" s="90" t="s">
        <v>104</v>
      </c>
      <c r="H31" s="90"/>
      <c r="I31" s="90"/>
      <c r="J31" s="90" t="s">
        <v>105</v>
      </c>
      <c r="K31" s="90"/>
      <c r="L31" s="90"/>
    </row>
    <row r="32" spans="2:24" ht="15" thickBot="1">
      <c r="D32" s="91" t="s">
        <v>107</v>
      </c>
      <c r="E32" s="92"/>
      <c r="F32" s="92"/>
      <c r="G32" s="93"/>
      <c r="H32" s="92"/>
      <c r="I32" s="94"/>
      <c r="J32" s="92"/>
      <c r="K32" s="92"/>
      <c r="L32" s="95"/>
    </row>
    <row r="33" spans="1:24">
      <c r="A33" s="5"/>
      <c r="D33" s="96" t="s">
        <v>89</v>
      </c>
      <c r="E33" s="97"/>
      <c r="F33" s="97"/>
      <c r="G33" s="98"/>
      <c r="H33" s="99">
        <f>U11</f>
        <v>1.68</v>
      </c>
      <c r="I33" s="100"/>
      <c r="J33" s="97"/>
      <c r="K33" s="101">
        <f>U15</f>
        <v>1.3898944476246067</v>
      </c>
      <c r="L33" s="102"/>
    </row>
    <row r="34" spans="1:24" ht="15" thickBot="1">
      <c r="D34" s="103" t="s">
        <v>87</v>
      </c>
      <c r="E34" s="104"/>
      <c r="F34" s="104"/>
      <c r="G34" s="105"/>
      <c r="H34" s="106">
        <f>U12</f>
        <v>0.75</v>
      </c>
      <c r="I34" s="107"/>
      <c r="J34" s="104"/>
      <c r="K34" s="108">
        <f>U16</f>
        <v>9.5473381193156293E-2</v>
      </c>
      <c r="L34" s="109"/>
    </row>
    <row r="35" spans="1:24" ht="15" thickBot="1">
      <c r="D35" s="91" t="s">
        <v>106</v>
      </c>
      <c r="E35" s="92"/>
      <c r="F35" s="92"/>
      <c r="G35" s="93"/>
      <c r="H35" s="92"/>
      <c r="I35" s="94"/>
      <c r="J35" s="92"/>
      <c r="K35" s="110"/>
      <c r="L35" s="95"/>
    </row>
    <row r="36" spans="1:24" ht="15" thickBot="1">
      <c r="D36" s="111" t="s">
        <v>87</v>
      </c>
      <c r="E36" s="87"/>
      <c r="F36" s="87"/>
      <c r="G36" s="112"/>
      <c r="H36" s="113">
        <f>U22</f>
        <v>1.19</v>
      </c>
      <c r="I36" s="114"/>
      <c r="J36" s="87"/>
      <c r="K36" s="115">
        <f>U25</f>
        <v>0.87277340539457793</v>
      </c>
      <c r="L36" s="82"/>
    </row>
    <row r="37" spans="1:24" ht="15.6" customHeight="1"/>
    <row r="38" spans="1:24" s="6" customFormat="1" ht="15" thickBot="1">
      <c r="B38" s="87" t="s">
        <v>144</v>
      </c>
      <c r="D38" s="87"/>
      <c r="E38" s="87"/>
      <c r="F38" s="87"/>
      <c r="G38" s="87" t="s">
        <v>210</v>
      </c>
      <c r="H38" s="87"/>
      <c r="J38" s="87"/>
      <c r="K38" s="87"/>
      <c r="L38" s="87"/>
      <c r="M38" s="87"/>
      <c r="N38" s="87"/>
      <c r="O38" s="87"/>
      <c r="P38" s="87"/>
      <c r="Q38" s="87"/>
      <c r="R38" s="87"/>
      <c r="S38" s="87"/>
      <c r="T38" s="87"/>
      <c r="U38" s="87"/>
      <c r="V38" s="87"/>
      <c r="W38" s="87"/>
      <c r="X38" s="87"/>
    </row>
  </sheetData>
  <sheetProtection algorithmName="SHA-512" hashValue="XTBU0SqdZmLeIv5uf6t3O0GEbD8oJr+FfdoSnxHuQ8S5cBug1o6Y53wIPYN18mmzycdS4kET3CHg4ymv0Je10g==" saltValue="/GS1o5vhXTG9NREFohZPwQ==" spinCount="100000" sheet="1" objects="1" scenario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showGridLines="0" tabSelected="1" zoomScale="80" zoomScaleNormal="80" workbookViewId="0">
      <selection activeCell="E17" sqref="E17"/>
    </sheetView>
  </sheetViews>
  <sheetFormatPr defaultColWidth="0" defaultRowHeight="14.4" zeroHeight="1"/>
  <cols>
    <col min="1" max="1" width="8.88671875" style="5" customWidth="1"/>
    <col min="2" max="2" width="8.88671875" style="74" customWidth="1"/>
    <col min="3" max="3" width="21.33203125" style="74" customWidth="1"/>
    <col min="4" max="4" width="19.88671875" style="74" customWidth="1"/>
    <col min="5" max="5" width="8.88671875" style="74" customWidth="1"/>
    <col min="6" max="6" width="13.6640625" style="74" customWidth="1"/>
    <col min="7" max="8" width="8.88671875" style="74" customWidth="1"/>
    <col min="9" max="9" width="15.44140625" style="74" customWidth="1"/>
    <col min="10" max="10" width="17.5546875" style="74" customWidth="1"/>
    <col min="11" max="11" width="18.109375" style="74" customWidth="1"/>
    <col min="12" max="12" width="15.6640625" style="74" customWidth="1"/>
    <col min="13" max="13" width="12.88671875" style="74" customWidth="1"/>
    <col min="14" max="14" width="8.88671875" style="74" customWidth="1"/>
    <col min="15" max="15" width="12.88671875" style="74" customWidth="1"/>
    <col min="16" max="16" width="20.44140625" style="74" customWidth="1"/>
    <col min="17" max="17" width="23.21875" style="74" customWidth="1"/>
    <col min="18" max="18" width="9.6640625" style="74" customWidth="1"/>
    <col min="19" max="20" width="8.88671875" style="74" customWidth="1"/>
    <col min="21" max="21" width="0" hidden="1" customWidth="1"/>
    <col min="22" max="16384" width="8.88671875" hidden="1"/>
  </cols>
  <sheetData>
    <row r="1" spans="2:20" ht="17.399999999999999">
      <c r="B1" s="85" t="s">
        <v>251</v>
      </c>
    </row>
    <row r="2" spans="2:20">
      <c r="B2" s="74" t="s">
        <v>252</v>
      </c>
    </row>
    <row r="3" spans="2:20" s="4" customFormat="1">
      <c r="B3" s="86" t="s">
        <v>109</v>
      </c>
      <c r="C3" s="86"/>
      <c r="D3" s="86"/>
      <c r="E3" s="86"/>
      <c r="F3" s="86"/>
      <c r="G3" s="86"/>
      <c r="H3" s="86"/>
      <c r="I3" s="86"/>
      <c r="J3" s="86"/>
      <c r="K3" s="86"/>
      <c r="L3" s="86"/>
      <c r="M3" s="86"/>
      <c r="N3" s="86"/>
      <c r="O3" s="86"/>
      <c r="P3" s="86"/>
      <c r="Q3" s="86"/>
      <c r="R3" s="86"/>
      <c r="S3" s="86"/>
      <c r="T3" s="86"/>
    </row>
    <row r="4" spans="2:20" s="6" customFormat="1" ht="15" thickBot="1">
      <c r="B4" s="87"/>
      <c r="C4" s="87"/>
      <c r="D4" s="87"/>
      <c r="E4" s="87"/>
      <c r="F4" s="87"/>
      <c r="G4" s="87"/>
      <c r="H4" s="87"/>
      <c r="I4" s="87"/>
      <c r="J4" s="87"/>
      <c r="K4" s="87"/>
      <c r="L4" s="87"/>
      <c r="M4" s="87"/>
      <c r="N4" s="87"/>
      <c r="O4" s="87"/>
      <c r="P4" s="87"/>
      <c r="Q4" s="87"/>
      <c r="R4" s="87"/>
      <c r="S4" s="87"/>
      <c r="T4" s="87"/>
    </row>
    <row r="5" spans="2:20"/>
    <row r="6" spans="2:20" s="5" customFormat="1" ht="16.2" thickBot="1">
      <c r="B6" s="75" t="s">
        <v>253</v>
      </c>
      <c r="C6" s="74"/>
      <c r="D6" s="74"/>
      <c r="E6" s="74"/>
      <c r="F6" s="74"/>
      <c r="G6" s="74"/>
      <c r="H6" s="144" t="s">
        <v>256</v>
      </c>
      <c r="I6" s="118"/>
      <c r="J6" s="118"/>
      <c r="K6" s="118"/>
      <c r="L6" s="118"/>
      <c r="M6" s="118"/>
      <c r="N6" s="118"/>
      <c r="O6" s="118"/>
      <c r="P6" s="86"/>
      <c r="Q6" s="86"/>
      <c r="R6" s="86"/>
      <c r="S6" s="74"/>
      <c r="T6" s="74"/>
    </row>
    <row r="7" spans="2:20" ht="15.6">
      <c r="B7" s="119"/>
      <c r="C7" s="120"/>
      <c r="D7" s="120"/>
      <c r="E7" s="120"/>
      <c r="F7" s="121"/>
      <c r="H7" s="122"/>
      <c r="I7" s="123"/>
      <c r="J7" s="123"/>
      <c r="K7" s="123"/>
      <c r="L7" s="123"/>
      <c r="M7" s="123"/>
      <c r="N7" s="123"/>
      <c r="O7" s="123"/>
      <c r="P7" s="120"/>
      <c r="Q7" s="120"/>
      <c r="R7" s="120"/>
      <c r="S7" s="121"/>
      <c r="T7" s="86"/>
    </row>
    <row r="8" spans="2:20">
      <c r="B8" s="124"/>
      <c r="C8" s="125"/>
      <c r="D8" s="79"/>
      <c r="E8" s="86"/>
      <c r="F8" s="80"/>
      <c r="H8" s="126"/>
      <c r="I8" s="86"/>
      <c r="J8" s="86"/>
      <c r="K8" s="86"/>
      <c r="L8" s="86"/>
      <c r="M8" s="86"/>
      <c r="N8" s="86"/>
      <c r="O8" s="86"/>
      <c r="P8" s="86"/>
      <c r="Q8" s="86"/>
      <c r="R8" s="86"/>
      <c r="S8" s="80"/>
      <c r="T8" s="86"/>
    </row>
    <row r="9" spans="2:20" ht="15" thickBot="1">
      <c r="B9" s="127" t="s">
        <v>258</v>
      </c>
      <c r="C9" s="128"/>
      <c r="D9" s="81">
        <f>'4. Benchmarking 2019'!G53</f>
        <v>712103909.65203178</v>
      </c>
      <c r="E9" s="86"/>
      <c r="F9" s="80"/>
      <c r="H9" s="126"/>
      <c r="I9" s="86"/>
      <c r="J9" s="86"/>
      <c r="K9" s="86"/>
      <c r="L9" s="86"/>
      <c r="M9" s="86"/>
      <c r="N9" s="86"/>
      <c r="O9" s="86"/>
      <c r="P9" s="86"/>
      <c r="Q9" s="86"/>
      <c r="R9" s="86"/>
      <c r="S9" s="80"/>
      <c r="T9" s="86"/>
    </row>
    <row r="10" spans="2:20">
      <c r="B10" s="124" t="s">
        <v>257</v>
      </c>
      <c r="C10" s="125"/>
      <c r="D10" s="79">
        <f>'4. Benchmarking 2019'!$S$19</f>
        <v>558605444.31727648</v>
      </c>
      <c r="E10" s="86"/>
      <c r="F10" s="80"/>
      <c r="H10" s="126"/>
      <c r="I10" s="86" t="s">
        <v>72</v>
      </c>
      <c r="J10" s="86"/>
      <c r="K10" s="86"/>
      <c r="L10" s="86"/>
      <c r="M10" s="86"/>
      <c r="N10" s="86"/>
      <c r="O10" s="86" t="s">
        <v>74</v>
      </c>
      <c r="P10" s="86"/>
      <c r="Q10" s="86"/>
      <c r="R10" s="86"/>
      <c r="S10" s="80"/>
      <c r="T10" s="86"/>
    </row>
    <row r="11" spans="2:20">
      <c r="B11" s="126"/>
      <c r="C11" s="86"/>
      <c r="D11" s="86"/>
      <c r="E11" s="86"/>
      <c r="F11" s="80"/>
      <c r="H11" s="126"/>
      <c r="I11" s="125" t="s">
        <v>72</v>
      </c>
      <c r="J11" s="125" t="s">
        <v>73</v>
      </c>
      <c r="K11" s="125" t="s">
        <v>55</v>
      </c>
      <c r="L11" s="125"/>
      <c r="M11" s="86"/>
      <c r="N11" s="86"/>
      <c r="O11" s="125" t="s">
        <v>74</v>
      </c>
      <c r="P11" s="125" t="s">
        <v>73</v>
      </c>
      <c r="Q11" s="125" t="s">
        <v>55</v>
      </c>
      <c r="R11" s="125"/>
      <c r="S11" s="80"/>
      <c r="T11" s="86"/>
    </row>
    <row r="12" spans="2:20">
      <c r="B12" s="126"/>
      <c r="C12" s="86"/>
      <c r="D12" s="86"/>
      <c r="E12" s="86"/>
      <c r="F12" s="80"/>
      <c r="H12" s="124">
        <v>2020</v>
      </c>
      <c r="I12" s="86"/>
      <c r="J12" s="130">
        <f>D22*E15</f>
        <v>37985170.213574804</v>
      </c>
      <c r="K12" s="131">
        <f>(D22-J12)</f>
        <v>151940680.85429922</v>
      </c>
      <c r="L12" s="86"/>
      <c r="M12" s="86"/>
      <c r="N12" s="125">
        <v>2020</v>
      </c>
      <c r="O12" s="86"/>
      <c r="P12" s="132">
        <f>D21*D15</f>
        <v>9216989.8312350623</v>
      </c>
      <c r="Q12" s="133">
        <f>(D21-P12)</f>
        <v>359462603.41816741</v>
      </c>
      <c r="R12" s="86"/>
      <c r="S12" s="80"/>
      <c r="T12" s="86"/>
    </row>
    <row r="13" spans="2:20">
      <c r="B13" s="296" t="s">
        <v>66</v>
      </c>
      <c r="C13" s="86"/>
      <c r="D13" s="125"/>
      <c r="E13" s="86"/>
      <c r="F13" s="80"/>
      <c r="H13" s="124">
        <v>2021</v>
      </c>
      <c r="I13" s="86"/>
      <c r="J13" s="130">
        <f>K12*$E$15</f>
        <v>30388136.170859843</v>
      </c>
      <c r="K13" s="131">
        <f>(K12-J13)</f>
        <v>121552544.68343937</v>
      </c>
      <c r="L13" s="86"/>
      <c r="M13" s="86"/>
      <c r="N13" s="125">
        <v>2021</v>
      </c>
      <c r="O13" s="86"/>
      <c r="P13" s="130">
        <f>$D$15*Q12</f>
        <v>8986565.0854541864</v>
      </c>
      <c r="Q13" s="133">
        <f>(Q12-P13)</f>
        <v>350476038.33271325</v>
      </c>
      <c r="R13" s="86"/>
      <c r="S13" s="80"/>
      <c r="T13" s="86"/>
    </row>
    <row r="14" spans="2:20">
      <c r="B14" s="126"/>
      <c r="C14" s="86"/>
      <c r="D14" s="86" t="s">
        <v>57</v>
      </c>
      <c r="E14" s="86" t="s">
        <v>60</v>
      </c>
      <c r="F14" s="80"/>
      <c r="H14" s="124">
        <v>2022</v>
      </c>
      <c r="I14" s="86"/>
      <c r="J14" s="130">
        <f>K13*$E$15</f>
        <v>24310508.936687876</v>
      </c>
      <c r="K14" s="131">
        <f t="shared" ref="K14:K21" si="0">(K13-J14)</f>
        <v>97242035.746751502</v>
      </c>
      <c r="L14" s="86"/>
      <c r="M14" s="86"/>
      <c r="N14" s="125">
        <v>2022</v>
      </c>
      <c r="O14" s="86"/>
      <c r="P14" s="130">
        <f t="shared" ref="P14:P21" si="1">$D$15*Q13</f>
        <v>8761900.9583178312</v>
      </c>
      <c r="Q14" s="133">
        <f t="shared" ref="Q14:Q21" si="2">(Q13-P14)</f>
        <v>341714137.37439543</v>
      </c>
      <c r="R14" s="86"/>
      <c r="S14" s="80"/>
      <c r="T14" s="86"/>
    </row>
    <row r="15" spans="2:20">
      <c r="B15" s="126" t="s">
        <v>58</v>
      </c>
      <c r="C15" s="86"/>
      <c r="D15" s="86">
        <v>2.5000000000000001E-2</v>
      </c>
      <c r="E15" s="86">
        <v>0.2</v>
      </c>
      <c r="F15" s="80"/>
      <c r="H15" s="124">
        <v>2023</v>
      </c>
      <c r="I15" s="86"/>
      <c r="J15" s="130">
        <f t="shared" ref="J15:J21" si="3">K14*$E$15</f>
        <v>19448407.1493503</v>
      </c>
      <c r="K15" s="131">
        <f t="shared" si="0"/>
        <v>77793628.597401202</v>
      </c>
      <c r="L15" s="86"/>
      <c r="M15" s="86"/>
      <c r="N15" s="125">
        <v>2023</v>
      </c>
      <c r="O15" s="86"/>
      <c r="P15" s="130">
        <f>$D$15*Q14</f>
        <v>8542853.4343598858</v>
      </c>
      <c r="Q15" s="133">
        <f t="shared" si="2"/>
        <v>333171283.94003552</v>
      </c>
      <c r="R15" s="86"/>
      <c r="S15" s="80"/>
      <c r="T15" s="86"/>
    </row>
    <row r="16" spans="2:20">
      <c r="B16" s="126" t="s">
        <v>59</v>
      </c>
      <c r="C16" s="86"/>
      <c r="D16" s="86">
        <v>0.66</v>
      </c>
      <c r="E16" s="86">
        <v>0.34</v>
      </c>
      <c r="F16" s="80"/>
      <c r="H16" s="124">
        <v>2024</v>
      </c>
      <c r="I16" s="86"/>
      <c r="J16" s="130">
        <f t="shared" si="3"/>
        <v>15558725.719480241</v>
      </c>
      <c r="K16" s="131">
        <f t="shared" si="0"/>
        <v>62234902.877920963</v>
      </c>
      <c r="L16" s="86"/>
      <c r="M16" s="86"/>
      <c r="N16" s="125">
        <v>2024</v>
      </c>
      <c r="O16" s="86"/>
      <c r="P16" s="130">
        <f t="shared" si="1"/>
        <v>8329282.0985008888</v>
      </c>
      <c r="Q16" s="133">
        <f t="shared" si="2"/>
        <v>324842001.84153461</v>
      </c>
      <c r="R16" s="86"/>
      <c r="S16" s="80"/>
      <c r="T16" s="86"/>
    </row>
    <row r="17" spans="2:20">
      <c r="B17" s="126" t="s">
        <v>61</v>
      </c>
      <c r="C17" s="86"/>
      <c r="D17" s="86"/>
      <c r="E17" s="86">
        <v>0.95</v>
      </c>
      <c r="F17" s="80"/>
      <c r="H17" s="124">
        <v>2025</v>
      </c>
      <c r="I17" s="86"/>
      <c r="J17" s="130">
        <f>K16*$E$15</f>
        <v>12446980.575584194</v>
      </c>
      <c r="K17" s="131">
        <f>(K16-J17)</f>
        <v>49787922.302336767</v>
      </c>
      <c r="L17" s="86"/>
      <c r="M17" s="86"/>
      <c r="N17" s="125">
        <v>2025</v>
      </c>
      <c r="O17" s="86"/>
      <c r="P17" s="130">
        <f t="shared" si="1"/>
        <v>8121050.0460383659</v>
      </c>
      <c r="Q17" s="133">
        <f t="shared" si="2"/>
        <v>316720951.79549623</v>
      </c>
      <c r="R17" s="86"/>
      <c r="S17" s="80"/>
      <c r="T17" s="86"/>
    </row>
    <row r="18" spans="2:20">
      <c r="B18" s="126"/>
      <c r="C18" s="86"/>
      <c r="D18" s="86"/>
      <c r="E18" s="86"/>
      <c r="F18" s="80"/>
      <c r="H18" s="124">
        <v>2026</v>
      </c>
      <c r="I18" s="86"/>
      <c r="J18" s="130">
        <f t="shared" si="3"/>
        <v>9957584.4604673535</v>
      </c>
      <c r="K18" s="131">
        <f t="shared" si="0"/>
        <v>39830337.841869414</v>
      </c>
      <c r="L18" s="86"/>
      <c r="M18" s="86"/>
      <c r="N18" s="125">
        <v>2026</v>
      </c>
      <c r="O18" s="86"/>
      <c r="P18" s="130">
        <f t="shared" si="1"/>
        <v>7918023.7948874058</v>
      </c>
      <c r="Q18" s="133">
        <f t="shared" si="2"/>
        <v>308802928.0006088</v>
      </c>
      <c r="R18" s="86"/>
      <c r="S18" s="80"/>
      <c r="T18" s="86"/>
    </row>
    <row r="19" spans="2:20">
      <c r="B19" s="124" t="s">
        <v>148</v>
      </c>
      <c r="C19" s="125"/>
      <c r="D19" s="125"/>
      <c r="E19" s="125"/>
      <c r="F19" s="129"/>
      <c r="H19" s="124">
        <v>2027</v>
      </c>
      <c r="I19" s="86"/>
      <c r="J19" s="130">
        <f t="shared" si="3"/>
        <v>7966067.5683738831</v>
      </c>
      <c r="K19" s="131">
        <f t="shared" si="0"/>
        <v>31864270.273495533</v>
      </c>
      <c r="L19" s="86"/>
      <c r="M19" s="86"/>
      <c r="N19" s="125">
        <v>2027</v>
      </c>
      <c r="O19" s="86"/>
      <c r="P19" s="130">
        <f t="shared" si="1"/>
        <v>7720073.2000152208</v>
      </c>
      <c r="Q19" s="133">
        <f t="shared" si="2"/>
        <v>301082854.80059355</v>
      </c>
      <c r="R19" s="86"/>
      <c r="S19" s="80"/>
      <c r="T19" s="86"/>
    </row>
    <row r="20" spans="2:20">
      <c r="B20" s="126"/>
      <c r="C20" s="86"/>
      <c r="D20" s="86"/>
      <c r="E20" s="86"/>
      <c r="F20" s="80"/>
      <c r="H20" s="124">
        <v>2028</v>
      </c>
      <c r="I20" s="86"/>
      <c r="J20" s="130">
        <f t="shared" si="3"/>
        <v>6372854.0546991071</v>
      </c>
      <c r="K20" s="131">
        <f t="shared" si="0"/>
        <v>25491416.218796425</v>
      </c>
      <c r="L20" s="86"/>
      <c r="M20" s="86"/>
      <c r="N20" s="125">
        <v>2028</v>
      </c>
      <c r="O20" s="86"/>
      <c r="P20" s="130">
        <f t="shared" si="1"/>
        <v>7527071.3700148389</v>
      </c>
      <c r="Q20" s="133">
        <f t="shared" si="2"/>
        <v>293555783.43057871</v>
      </c>
      <c r="R20" s="86"/>
      <c r="S20" s="80"/>
      <c r="T20" s="86"/>
    </row>
    <row r="21" spans="2:20">
      <c r="B21" s="126"/>
      <c r="C21" s="86" t="s">
        <v>57</v>
      </c>
      <c r="D21" s="134">
        <f>D10*D16</f>
        <v>368679593.24940246</v>
      </c>
      <c r="E21" s="86"/>
      <c r="F21" s="80"/>
      <c r="H21" s="124" t="s">
        <v>62</v>
      </c>
      <c r="I21" s="86"/>
      <c r="J21" s="130">
        <f t="shared" si="3"/>
        <v>5098283.2437592857</v>
      </c>
      <c r="K21" s="131">
        <f t="shared" si="0"/>
        <v>20393132.975037139</v>
      </c>
      <c r="L21" s="86"/>
      <c r="M21" s="86"/>
      <c r="N21" s="125" t="s">
        <v>62</v>
      </c>
      <c r="O21" s="86"/>
      <c r="P21" s="130">
        <f t="shared" si="1"/>
        <v>7338894.5857644677</v>
      </c>
      <c r="Q21" s="133">
        <f t="shared" si="2"/>
        <v>286216888.84481424</v>
      </c>
      <c r="R21" s="86"/>
      <c r="S21" s="80"/>
      <c r="T21" s="86"/>
    </row>
    <row r="22" spans="2:20">
      <c r="B22" s="126"/>
      <c r="C22" s="86" t="s">
        <v>60</v>
      </c>
      <c r="D22" s="134">
        <f>D10*E16</f>
        <v>189925851.06787401</v>
      </c>
      <c r="E22" s="86"/>
      <c r="F22" s="80"/>
      <c r="H22" s="126"/>
      <c r="I22" s="86"/>
      <c r="J22" s="86"/>
      <c r="K22" s="86"/>
      <c r="L22" s="86"/>
      <c r="M22" s="86"/>
      <c r="N22" s="86"/>
      <c r="O22" s="86"/>
      <c r="P22" s="86"/>
      <c r="Q22" s="86"/>
      <c r="R22" s="86"/>
      <c r="S22" s="80"/>
      <c r="T22" s="86"/>
    </row>
    <row r="23" spans="2:20">
      <c r="B23" s="126"/>
      <c r="C23" s="86" t="s">
        <v>142</v>
      </c>
      <c r="D23" s="134">
        <f>D22+D21</f>
        <v>558605444.31727648</v>
      </c>
      <c r="E23" s="86"/>
      <c r="F23" s="80"/>
      <c r="H23" s="126"/>
      <c r="I23" s="86"/>
      <c r="J23" s="86"/>
      <c r="K23" s="86"/>
      <c r="L23" s="86"/>
      <c r="M23" s="86"/>
      <c r="N23" s="86"/>
      <c r="O23" s="86"/>
      <c r="P23" s="86"/>
      <c r="Q23" s="86"/>
      <c r="R23" s="86"/>
      <c r="S23" s="80"/>
      <c r="T23" s="86"/>
    </row>
    <row r="24" spans="2:20" ht="15" thickBot="1">
      <c r="B24" s="127"/>
      <c r="C24" s="128"/>
      <c r="D24" s="128"/>
      <c r="E24" s="87"/>
      <c r="F24" s="82"/>
      <c r="H24" s="126" t="s">
        <v>94</v>
      </c>
      <c r="I24" s="86"/>
      <c r="J24" s="86"/>
      <c r="K24" s="86"/>
      <c r="L24" s="86"/>
      <c r="M24" s="86"/>
      <c r="N24" s="86"/>
      <c r="O24" s="86"/>
      <c r="P24" s="86"/>
      <c r="Q24" s="86"/>
      <c r="R24" s="86"/>
      <c r="S24" s="80"/>
      <c r="T24" s="86"/>
    </row>
    <row r="25" spans="2:20" s="5" customFormat="1">
      <c r="B25" s="86"/>
      <c r="C25" s="86"/>
      <c r="D25" s="86"/>
      <c r="E25" s="86"/>
      <c r="F25" s="86"/>
      <c r="G25" s="74"/>
      <c r="H25" s="126"/>
      <c r="I25" s="86"/>
      <c r="J25" s="86"/>
      <c r="K25" s="86"/>
      <c r="L25" s="86"/>
      <c r="M25" s="86"/>
      <c r="N25" s="86"/>
      <c r="O25" s="86"/>
      <c r="P25" s="86"/>
      <c r="Q25" s="86"/>
      <c r="R25" s="86"/>
      <c r="S25" s="80"/>
      <c r="T25" s="86"/>
    </row>
    <row r="26" spans="2:20">
      <c r="B26" s="86"/>
      <c r="C26" s="86"/>
      <c r="D26" s="4"/>
      <c r="E26" s="4"/>
      <c r="F26" s="86"/>
      <c r="H26" s="126"/>
      <c r="I26" s="125" t="s">
        <v>72</v>
      </c>
      <c r="J26" s="125" t="s">
        <v>75</v>
      </c>
      <c r="K26" s="125" t="s">
        <v>76</v>
      </c>
      <c r="L26" s="125" t="s">
        <v>77</v>
      </c>
      <c r="M26" s="125" t="s">
        <v>78</v>
      </c>
      <c r="N26" s="125"/>
      <c r="O26" s="86"/>
      <c r="P26" s="86"/>
      <c r="Q26" s="86"/>
      <c r="R26" s="86"/>
      <c r="S26" s="80"/>
      <c r="T26" s="86"/>
    </row>
    <row r="27" spans="2:20">
      <c r="B27" s="86"/>
      <c r="C27" s="86"/>
      <c r="D27" s="4"/>
      <c r="E27" s="4"/>
      <c r="F27" s="86"/>
      <c r="H27" s="124">
        <v>2020</v>
      </c>
      <c r="I27" s="133">
        <f>K12</f>
        <v>151940680.85429922</v>
      </c>
      <c r="J27" s="133">
        <f>Q12</f>
        <v>359462603.41816741</v>
      </c>
      <c r="K27" s="132">
        <f>I27+J27</f>
        <v>511403284.27246666</v>
      </c>
      <c r="L27" s="86">
        <f>I27/K27</f>
        <v>0.29710540688148551</v>
      </c>
      <c r="M27" s="86">
        <f>J27/K27</f>
        <v>0.70289459311851443</v>
      </c>
      <c r="N27" s="86"/>
      <c r="O27" s="132"/>
      <c r="P27" s="132"/>
      <c r="Q27" s="132"/>
      <c r="R27" s="86"/>
      <c r="S27" s="80"/>
      <c r="T27" s="86"/>
    </row>
    <row r="28" spans="2:20">
      <c r="B28" s="86"/>
      <c r="C28" s="86"/>
      <c r="D28" s="5"/>
      <c r="E28" s="5"/>
      <c r="F28" s="86"/>
      <c r="H28" s="124">
        <v>2021</v>
      </c>
      <c r="I28" s="133">
        <f t="shared" ref="I28:I36" si="4">K13</f>
        <v>121552544.68343937</v>
      </c>
      <c r="J28" s="133">
        <f t="shared" ref="J28:J36" si="5">Q13</f>
        <v>350476038.33271325</v>
      </c>
      <c r="K28" s="132">
        <f t="shared" ref="K28:K36" si="6">I28+J28</f>
        <v>472028583.01615262</v>
      </c>
      <c r="L28" s="86">
        <f t="shared" ref="L28:L36" si="7">I28/K28</f>
        <v>0.25751098356533186</v>
      </c>
      <c r="M28" s="86">
        <f t="shared" ref="M28:M36" si="8">J28/K28</f>
        <v>0.74248901643466814</v>
      </c>
      <c r="N28" s="86"/>
      <c r="O28" s="132"/>
      <c r="P28" s="132"/>
      <c r="Q28" s="132"/>
      <c r="R28" s="86"/>
      <c r="S28" s="80"/>
      <c r="T28" s="86"/>
    </row>
    <row r="29" spans="2:20">
      <c r="B29" s="86"/>
      <c r="C29" s="86"/>
      <c r="D29" s="5"/>
      <c r="E29" s="5"/>
      <c r="F29" s="86"/>
      <c r="H29" s="124">
        <v>2022</v>
      </c>
      <c r="I29" s="133">
        <f t="shared" si="4"/>
        <v>97242035.746751502</v>
      </c>
      <c r="J29" s="133">
        <f t="shared" si="5"/>
        <v>341714137.37439543</v>
      </c>
      <c r="K29" s="132">
        <f t="shared" si="6"/>
        <v>438956173.12114692</v>
      </c>
      <c r="L29" s="86">
        <f t="shared" si="7"/>
        <v>0.22153017021112448</v>
      </c>
      <c r="M29" s="86">
        <f t="shared" si="8"/>
        <v>0.77846982978887558</v>
      </c>
      <c r="N29" s="86"/>
      <c r="O29" s="132"/>
      <c r="P29" s="132"/>
      <c r="Q29" s="132"/>
      <c r="R29" s="86"/>
      <c r="S29" s="80"/>
      <c r="T29" s="86"/>
    </row>
    <row r="30" spans="2:20">
      <c r="B30" s="86"/>
      <c r="C30" s="86"/>
      <c r="D30" s="86"/>
      <c r="E30" s="86"/>
      <c r="F30" s="86"/>
      <c r="H30" s="124">
        <v>2023</v>
      </c>
      <c r="I30" s="133">
        <f t="shared" si="4"/>
        <v>77793628.597401202</v>
      </c>
      <c r="J30" s="133">
        <f t="shared" si="5"/>
        <v>333171283.94003552</v>
      </c>
      <c r="K30" s="132">
        <f t="shared" si="6"/>
        <v>410964912.53743672</v>
      </c>
      <c r="L30" s="86">
        <f t="shared" si="7"/>
        <v>0.18929506199708623</v>
      </c>
      <c r="M30" s="86">
        <f t="shared" si="8"/>
        <v>0.81070493800291377</v>
      </c>
      <c r="N30" s="86"/>
      <c r="O30" s="132"/>
      <c r="P30" s="132"/>
      <c r="Q30" s="132"/>
      <c r="R30" s="86"/>
      <c r="S30" s="80"/>
      <c r="T30" s="86"/>
    </row>
    <row r="31" spans="2:20">
      <c r="H31" s="124">
        <v>2024</v>
      </c>
      <c r="I31" s="133">
        <f t="shared" si="4"/>
        <v>62234902.877920963</v>
      </c>
      <c r="J31" s="133">
        <f t="shared" si="5"/>
        <v>324842001.84153461</v>
      </c>
      <c r="K31" s="132">
        <f t="shared" si="6"/>
        <v>387076904.7194556</v>
      </c>
      <c r="L31" s="86">
        <f t="shared" si="7"/>
        <v>0.16078175194417085</v>
      </c>
      <c r="M31" s="86">
        <f t="shared" si="8"/>
        <v>0.83921824805582912</v>
      </c>
      <c r="N31" s="86"/>
      <c r="O31" s="132"/>
      <c r="P31" s="132"/>
      <c r="Q31" s="132"/>
      <c r="R31" s="86"/>
      <c r="S31" s="80"/>
      <c r="T31" s="86"/>
    </row>
    <row r="32" spans="2:20">
      <c r="H32" s="124">
        <v>2025</v>
      </c>
      <c r="I32" s="133">
        <f t="shared" si="4"/>
        <v>49787922.302336767</v>
      </c>
      <c r="J32" s="133">
        <f t="shared" si="5"/>
        <v>316720951.79549623</v>
      </c>
      <c r="K32" s="132">
        <f t="shared" si="6"/>
        <v>366508874.09783298</v>
      </c>
      <c r="L32" s="86">
        <f t="shared" si="7"/>
        <v>0.13584370207922106</v>
      </c>
      <c r="M32" s="86">
        <f t="shared" si="8"/>
        <v>0.86415629792077897</v>
      </c>
      <c r="N32" s="86"/>
      <c r="O32" s="132"/>
      <c r="P32" s="132"/>
      <c r="Q32" s="132"/>
      <c r="R32" s="86"/>
      <c r="S32" s="80"/>
      <c r="T32" s="86"/>
    </row>
    <row r="33" spans="2:20">
      <c r="H33" s="124">
        <v>2026</v>
      </c>
      <c r="I33" s="133">
        <f t="shared" si="4"/>
        <v>39830337.841869414</v>
      </c>
      <c r="J33" s="133">
        <f t="shared" si="5"/>
        <v>308802928.0006088</v>
      </c>
      <c r="K33" s="132">
        <f t="shared" si="6"/>
        <v>348633265.84247822</v>
      </c>
      <c r="L33" s="86">
        <f t="shared" si="7"/>
        <v>0.11424709499714183</v>
      </c>
      <c r="M33" s="86">
        <f t="shared" si="8"/>
        <v>0.88575290500285819</v>
      </c>
      <c r="N33" s="86"/>
      <c r="O33" s="132"/>
      <c r="P33" s="132"/>
      <c r="Q33" s="132"/>
      <c r="R33" s="86"/>
      <c r="S33" s="80"/>
      <c r="T33" s="86"/>
    </row>
    <row r="34" spans="2:20">
      <c r="H34" s="124">
        <v>2027</v>
      </c>
      <c r="I34" s="133">
        <f t="shared" si="4"/>
        <v>31864270.273495533</v>
      </c>
      <c r="J34" s="133">
        <f t="shared" si="5"/>
        <v>301082854.80059355</v>
      </c>
      <c r="K34" s="132">
        <f t="shared" si="6"/>
        <v>332947125.07408911</v>
      </c>
      <c r="L34" s="86">
        <f t="shared" si="7"/>
        <v>9.5703695493405835E-2</v>
      </c>
      <c r="M34" s="86">
        <f t="shared" si="8"/>
        <v>0.90429630450659404</v>
      </c>
      <c r="N34" s="86"/>
      <c r="O34" s="132"/>
      <c r="P34" s="132"/>
      <c r="Q34" s="132"/>
      <c r="R34" s="86"/>
      <c r="S34" s="80"/>
      <c r="T34" s="86"/>
    </row>
    <row r="35" spans="2:20">
      <c r="H35" s="124">
        <v>2028</v>
      </c>
      <c r="I35" s="133">
        <f t="shared" si="4"/>
        <v>25491416.218796425</v>
      </c>
      <c r="J35" s="133">
        <f t="shared" si="5"/>
        <v>293555783.43057871</v>
      </c>
      <c r="K35" s="132">
        <f t="shared" si="6"/>
        <v>319047199.64937514</v>
      </c>
      <c r="L35" s="86">
        <f t="shared" si="7"/>
        <v>7.989857377469807E-2</v>
      </c>
      <c r="M35" s="86">
        <f t="shared" si="8"/>
        <v>0.92010142622530189</v>
      </c>
      <c r="N35" s="86"/>
      <c r="O35" s="132"/>
      <c r="P35" s="132"/>
      <c r="Q35" s="132"/>
      <c r="R35" s="86"/>
      <c r="S35" s="80"/>
      <c r="T35" s="86"/>
    </row>
    <row r="36" spans="2:20">
      <c r="H36" s="124" t="s">
        <v>62</v>
      </c>
      <c r="I36" s="133">
        <f t="shared" si="4"/>
        <v>20393132.975037139</v>
      </c>
      <c r="J36" s="133">
        <f t="shared" si="5"/>
        <v>286216888.84481424</v>
      </c>
      <c r="K36" s="132">
        <f t="shared" si="6"/>
        <v>306610021.8198514</v>
      </c>
      <c r="L36" s="86">
        <f t="shared" si="7"/>
        <v>6.6511632118206224E-2</v>
      </c>
      <c r="M36" s="86">
        <f t="shared" si="8"/>
        <v>0.93348836788179368</v>
      </c>
      <c r="N36" s="86"/>
      <c r="O36" s="132"/>
      <c r="P36" s="132"/>
      <c r="Q36" s="132"/>
      <c r="R36" s="86"/>
      <c r="S36" s="80"/>
      <c r="T36" s="86"/>
    </row>
    <row r="37" spans="2:20" ht="15" thickBot="1">
      <c r="H37" s="111"/>
      <c r="I37" s="87"/>
      <c r="J37" s="87"/>
      <c r="K37" s="87"/>
      <c r="L37" s="87"/>
      <c r="M37" s="87"/>
      <c r="N37" s="87"/>
      <c r="O37" s="87"/>
      <c r="P37" s="87"/>
      <c r="Q37" s="87"/>
      <c r="R37" s="87"/>
      <c r="S37" s="82"/>
      <c r="T37" s="86"/>
    </row>
    <row r="38" spans="2:20" s="5" customFormat="1">
      <c r="B38" s="74"/>
      <c r="C38" s="74"/>
      <c r="D38" s="74"/>
      <c r="E38" s="74"/>
      <c r="F38" s="74"/>
      <c r="G38" s="86"/>
      <c r="H38" s="86"/>
      <c r="I38" s="86"/>
      <c r="J38" s="86"/>
      <c r="K38" s="86"/>
      <c r="L38" s="86"/>
      <c r="M38" s="86"/>
      <c r="N38" s="86"/>
      <c r="O38" s="86"/>
      <c r="P38" s="86"/>
      <c r="Q38" s="86"/>
      <c r="R38" s="86"/>
      <c r="S38" s="74"/>
      <c r="T38" s="74"/>
    </row>
    <row r="39" spans="2:20" s="5" customFormat="1" ht="16.2" thickBot="1">
      <c r="B39" s="74"/>
      <c r="C39" s="74"/>
      <c r="D39" s="74"/>
      <c r="E39" s="74"/>
      <c r="F39" s="74"/>
      <c r="G39" s="86"/>
      <c r="H39" s="144" t="s">
        <v>254</v>
      </c>
      <c r="I39" s="118"/>
      <c r="J39" s="118"/>
      <c r="K39" s="118"/>
      <c r="L39" s="118"/>
      <c r="M39" s="118"/>
      <c r="N39" s="118"/>
      <c r="O39" s="118"/>
      <c r="P39" s="118"/>
      <c r="Q39" s="86"/>
      <c r="R39" s="86"/>
      <c r="S39" s="74"/>
      <c r="T39" s="74"/>
    </row>
    <row r="40" spans="2:20" s="5" customFormat="1">
      <c r="B40" s="74"/>
      <c r="C40" s="74"/>
      <c r="D40" s="74"/>
      <c r="E40" s="74"/>
      <c r="F40" s="74"/>
      <c r="G40" s="74"/>
      <c r="H40" s="119"/>
      <c r="I40" s="120"/>
      <c r="J40" s="120"/>
      <c r="K40" s="120"/>
      <c r="L40" s="120"/>
      <c r="M40" s="120"/>
      <c r="N40" s="120"/>
      <c r="O40" s="120"/>
      <c r="P40" s="120"/>
      <c r="Q40" s="120"/>
      <c r="R40" s="121"/>
      <c r="S40" s="74"/>
      <c r="T40" s="74"/>
    </row>
    <row r="41" spans="2:20">
      <c r="H41" s="126"/>
      <c r="I41" s="86"/>
      <c r="J41" s="86"/>
      <c r="K41" s="86"/>
      <c r="L41" s="86"/>
      <c r="M41" s="86"/>
      <c r="N41" s="86"/>
      <c r="O41" s="86"/>
      <c r="P41" s="86"/>
      <c r="Q41" s="86"/>
      <c r="R41" s="80"/>
    </row>
    <row r="42" spans="2:20" s="5" customFormat="1" ht="15.6">
      <c r="B42" s="74"/>
      <c r="C42" s="74"/>
      <c r="D42" s="74"/>
      <c r="E42" s="74"/>
      <c r="F42" s="74"/>
      <c r="G42" s="74"/>
      <c r="H42" s="135"/>
      <c r="I42" s="118"/>
      <c r="J42" s="118"/>
      <c r="K42" s="118"/>
      <c r="L42" s="118"/>
      <c r="M42" s="118"/>
      <c r="N42" s="118"/>
      <c r="O42" s="118"/>
      <c r="P42" s="118"/>
      <c r="Q42" s="86"/>
      <c r="R42" s="80"/>
      <c r="S42" s="74"/>
      <c r="T42" s="74"/>
    </row>
    <row r="43" spans="2:20">
      <c r="H43" s="126"/>
      <c r="I43" s="86" t="s">
        <v>79</v>
      </c>
      <c r="J43" s="86"/>
      <c r="K43" s="86"/>
      <c r="L43" s="86"/>
      <c r="M43" s="86"/>
      <c r="N43" s="86"/>
      <c r="O43" s="86" t="s">
        <v>80</v>
      </c>
      <c r="P43" s="86"/>
      <c r="Q43" s="86"/>
      <c r="R43" s="80"/>
    </row>
    <row r="44" spans="2:20">
      <c r="H44" s="124"/>
      <c r="I44" s="125" t="s">
        <v>72</v>
      </c>
      <c r="J44" s="125" t="s">
        <v>73</v>
      </c>
      <c r="K44" s="125" t="s">
        <v>55</v>
      </c>
      <c r="L44" s="125"/>
      <c r="M44" s="86"/>
      <c r="N44" s="125"/>
      <c r="O44" s="125" t="s">
        <v>74</v>
      </c>
      <c r="P44" s="125" t="s">
        <v>73</v>
      </c>
      <c r="Q44" s="125" t="s">
        <v>55</v>
      </c>
      <c r="R44" s="129"/>
    </row>
    <row r="45" spans="2:20">
      <c r="H45" s="124">
        <v>2020</v>
      </c>
      <c r="I45" s="86"/>
      <c r="J45" s="79">
        <f>D22*$E$15</f>
        <v>37985170.213574804</v>
      </c>
      <c r="K45" s="136">
        <f>(D22-J45)*(1+$D$27)</f>
        <v>151940680.85429922</v>
      </c>
      <c r="L45" s="86"/>
      <c r="M45" s="86"/>
      <c r="N45" s="125">
        <v>2020</v>
      </c>
      <c r="O45" s="86"/>
      <c r="P45" s="79">
        <f>D21*$D$15</f>
        <v>9216989.8312350623</v>
      </c>
      <c r="Q45" s="136">
        <f>(D21-P45)*(1+$D$27)</f>
        <v>359462603.41816741</v>
      </c>
      <c r="R45" s="80"/>
    </row>
    <row r="46" spans="2:20">
      <c r="H46" s="124">
        <v>2021</v>
      </c>
      <c r="I46" s="86"/>
      <c r="J46" s="79">
        <f>K45*$E$15</f>
        <v>30388136.170859843</v>
      </c>
      <c r="K46" s="136">
        <f>(K45-J46)*(1+$D$27)</f>
        <v>121552544.68343937</v>
      </c>
      <c r="L46" s="86"/>
      <c r="M46" s="86"/>
      <c r="N46" s="125">
        <v>2021</v>
      </c>
      <c r="O46" s="86"/>
      <c r="P46" s="79">
        <f>Q45*$D$15</f>
        <v>8986565.0854541864</v>
      </c>
      <c r="Q46" s="136">
        <f>(Q45-P46)*(1+$D$27)</f>
        <v>350476038.33271325</v>
      </c>
      <c r="R46" s="80"/>
    </row>
    <row r="47" spans="2:20">
      <c r="H47" s="124">
        <v>2022</v>
      </c>
      <c r="I47" s="86"/>
      <c r="J47" s="79">
        <f t="shared" ref="J47:J54" si="9">K46*$E$15</f>
        <v>24310508.936687876</v>
      </c>
      <c r="K47" s="136">
        <f t="shared" ref="K47:K54" si="10">(K46-J47)*(1+$D$27)</f>
        <v>97242035.746751502</v>
      </c>
      <c r="L47" s="86"/>
      <c r="M47" s="86"/>
      <c r="N47" s="125">
        <v>2022</v>
      </c>
      <c r="O47" s="86"/>
      <c r="P47" s="79">
        <f t="shared" ref="P47:P54" si="11">Q46*$D$15</f>
        <v>8761900.9583178312</v>
      </c>
      <c r="Q47" s="136">
        <f t="shared" ref="Q47:Q54" si="12">(Q46-P47)*(1+$D$27)</f>
        <v>341714137.37439543</v>
      </c>
      <c r="R47" s="80"/>
    </row>
    <row r="48" spans="2:20">
      <c r="H48" s="124">
        <v>2023</v>
      </c>
      <c r="I48" s="86"/>
      <c r="J48" s="79">
        <f t="shared" si="9"/>
        <v>19448407.1493503</v>
      </c>
      <c r="K48" s="136">
        <f t="shared" si="10"/>
        <v>77793628.597401202</v>
      </c>
      <c r="L48" s="86"/>
      <c r="M48" s="86"/>
      <c r="N48" s="125">
        <v>2023</v>
      </c>
      <c r="O48" s="86"/>
      <c r="P48" s="79">
        <f t="shared" si="11"/>
        <v>8542853.4343598858</v>
      </c>
      <c r="Q48" s="136">
        <f t="shared" si="12"/>
        <v>333171283.94003552</v>
      </c>
      <c r="R48" s="80"/>
    </row>
    <row r="49" spans="2:20">
      <c r="H49" s="124">
        <v>2024</v>
      </c>
      <c r="I49" s="86"/>
      <c r="J49" s="79">
        <f t="shared" si="9"/>
        <v>15558725.719480241</v>
      </c>
      <c r="K49" s="136">
        <f t="shared" si="10"/>
        <v>62234902.877920963</v>
      </c>
      <c r="L49" s="86"/>
      <c r="M49" s="86"/>
      <c r="N49" s="125">
        <v>2024</v>
      </c>
      <c r="O49" s="86"/>
      <c r="P49" s="79">
        <f t="shared" si="11"/>
        <v>8329282.0985008888</v>
      </c>
      <c r="Q49" s="136">
        <f t="shared" si="12"/>
        <v>324842001.84153461</v>
      </c>
      <c r="R49" s="80"/>
    </row>
    <row r="50" spans="2:20">
      <c r="H50" s="124">
        <v>2025</v>
      </c>
      <c r="I50" s="86"/>
      <c r="J50" s="79">
        <f t="shared" si="9"/>
        <v>12446980.575584194</v>
      </c>
      <c r="K50" s="136">
        <f t="shared" si="10"/>
        <v>49787922.302336767</v>
      </c>
      <c r="L50" s="86"/>
      <c r="M50" s="86"/>
      <c r="N50" s="125">
        <v>2025</v>
      </c>
      <c r="O50" s="86"/>
      <c r="P50" s="79">
        <f t="shared" si="11"/>
        <v>8121050.0460383659</v>
      </c>
      <c r="Q50" s="136">
        <f t="shared" si="12"/>
        <v>316720951.79549623</v>
      </c>
      <c r="R50" s="80"/>
    </row>
    <row r="51" spans="2:20">
      <c r="H51" s="124">
        <v>2026</v>
      </c>
      <c r="I51" s="86"/>
      <c r="J51" s="79">
        <f t="shared" si="9"/>
        <v>9957584.4604673535</v>
      </c>
      <c r="K51" s="136">
        <f t="shared" si="10"/>
        <v>39830337.841869414</v>
      </c>
      <c r="L51" s="86"/>
      <c r="M51" s="86"/>
      <c r="N51" s="125">
        <v>2026</v>
      </c>
      <c r="O51" s="86"/>
      <c r="P51" s="79">
        <f t="shared" si="11"/>
        <v>7918023.7948874058</v>
      </c>
      <c r="Q51" s="136">
        <f t="shared" si="12"/>
        <v>308802928.0006088</v>
      </c>
      <c r="R51" s="80"/>
    </row>
    <row r="52" spans="2:20">
      <c r="H52" s="124">
        <v>2027</v>
      </c>
      <c r="I52" s="86"/>
      <c r="J52" s="79">
        <f t="shared" si="9"/>
        <v>7966067.5683738831</v>
      </c>
      <c r="K52" s="136">
        <f t="shared" si="10"/>
        <v>31864270.273495533</v>
      </c>
      <c r="L52" s="86"/>
      <c r="M52" s="86"/>
      <c r="N52" s="125">
        <v>2027</v>
      </c>
      <c r="O52" s="86"/>
      <c r="P52" s="79">
        <f t="shared" si="11"/>
        <v>7720073.2000152208</v>
      </c>
      <c r="Q52" s="136">
        <f t="shared" si="12"/>
        <v>301082854.80059355</v>
      </c>
      <c r="R52" s="80"/>
    </row>
    <row r="53" spans="2:20" s="5" customFormat="1">
      <c r="B53" s="74"/>
      <c r="C53" s="74"/>
      <c r="D53" s="74"/>
      <c r="E53" s="74"/>
      <c r="F53" s="74"/>
      <c r="G53" s="74"/>
      <c r="H53" s="124">
        <v>2028</v>
      </c>
      <c r="I53" s="86"/>
      <c r="J53" s="79">
        <f t="shared" si="9"/>
        <v>6372854.0546991071</v>
      </c>
      <c r="K53" s="136">
        <f t="shared" si="10"/>
        <v>25491416.218796425</v>
      </c>
      <c r="L53" s="86"/>
      <c r="M53" s="86"/>
      <c r="N53" s="125">
        <v>2028</v>
      </c>
      <c r="O53" s="86"/>
      <c r="P53" s="79">
        <f t="shared" si="11"/>
        <v>7527071.3700148389</v>
      </c>
      <c r="Q53" s="136">
        <f t="shared" si="12"/>
        <v>293555783.43057871</v>
      </c>
      <c r="R53" s="80"/>
      <c r="S53" s="74"/>
      <c r="T53" s="74"/>
    </row>
    <row r="54" spans="2:20" s="5" customFormat="1">
      <c r="B54" s="74"/>
      <c r="C54" s="74"/>
      <c r="D54" s="74"/>
      <c r="E54" s="74"/>
      <c r="F54" s="74"/>
      <c r="G54" s="74"/>
      <c r="H54" s="124" t="s">
        <v>62</v>
      </c>
      <c r="I54" s="86"/>
      <c r="J54" s="79">
        <f t="shared" si="9"/>
        <v>5098283.2437592857</v>
      </c>
      <c r="K54" s="136">
        <f t="shared" si="10"/>
        <v>20393132.975037139</v>
      </c>
      <c r="L54" s="86"/>
      <c r="M54" s="86"/>
      <c r="N54" s="125" t="s">
        <v>62</v>
      </c>
      <c r="O54" s="86"/>
      <c r="P54" s="79">
        <f t="shared" si="11"/>
        <v>7338894.5857644677</v>
      </c>
      <c r="Q54" s="136">
        <f t="shared" si="12"/>
        <v>286216888.84481424</v>
      </c>
      <c r="R54" s="80"/>
      <c r="S54" s="74"/>
      <c r="T54" s="74"/>
    </row>
    <row r="55" spans="2:20">
      <c r="H55" s="126"/>
      <c r="I55" s="86"/>
      <c r="J55" s="137"/>
      <c r="K55" s="86"/>
      <c r="L55" s="86"/>
      <c r="M55" s="86"/>
      <c r="N55" s="86"/>
      <c r="O55" s="86"/>
      <c r="P55" s="137"/>
      <c r="Q55" s="86"/>
      <c r="R55" s="80"/>
    </row>
    <row r="56" spans="2:20" s="5" customFormat="1">
      <c r="B56" s="74"/>
      <c r="C56" s="74"/>
      <c r="D56" s="74"/>
      <c r="E56" s="74"/>
      <c r="F56" s="74"/>
      <c r="G56" s="74"/>
      <c r="H56" s="126"/>
      <c r="I56" s="86"/>
      <c r="J56" s="86"/>
      <c r="K56" s="86"/>
      <c r="L56" s="86"/>
      <c r="M56" s="86"/>
      <c r="N56" s="86"/>
      <c r="O56" s="86"/>
      <c r="P56" s="86"/>
      <c r="Q56" s="86"/>
      <c r="R56" s="80"/>
      <c r="S56" s="74"/>
      <c r="T56" s="74"/>
    </row>
    <row r="57" spans="2:20" s="5" customFormat="1">
      <c r="B57" s="74"/>
      <c r="C57" s="74"/>
      <c r="D57" s="74"/>
      <c r="E57" s="74"/>
      <c r="F57" s="74"/>
      <c r="G57" s="74"/>
      <c r="H57" s="126" t="s">
        <v>94</v>
      </c>
      <c r="I57" s="86"/>
      <c r="J57" s="86"/>
      <c r="K57" s="86"/>
      <c r="L57" s="86"/>
      <c r="M57" s="86"/>
      <c r="N57" s="86"/>
      <c r="O57" s="86"/>
      <c r="P57" s="86"/>
      <c r="Q57" s="86"/>
      <c r="R57" s="80"/>
      <c r="S57" s="74"/>
      <c r="T57" s="74"/>
    </row>
    <row r="58" spans="2:20">
      <c r="H58" s="126"/>
      <c r="I58" s="125" t="s">
        <v>72</v>
      </c>
      <c r="J58" s="125" t="s">
        <v>75</v>
      </c>
      <c r="K58" s="125" t="s">
        <v>76</v>
      </c>
      <c r="L58" s="125" t="s">
        <v>77</v>
      </c>
      <c r="M58" s="125" t="s">
        <v>78</v>
      </c>
      <c r="N58" s="86"/>
      <c r="O58" s="86"/>
      <c r="P58" s="86"/>
      <c r="Q58" s="86"/>
      <c r="R58" s="80"/>
    </row>
    <row r="59" spans="2:20">
      <c r="H59" s="124">
        <v>2020</v>
      </c>
      <c r="I59" s="136">
        <f>K45</f>
        <v>151940680.85429922</v>
      </c>
      <c r="J59" s="136">
        <f>Q45</f>
        <v>359462603.41816741</v>
      </c>
      <c r="K59" s="79">
        <f>I59+J59</f>
        <v>511403284.27246666</v>
      </c>
      <c r="L59" s="86">
        <f>I59/K59</f>
        <v>0.29710540688148551</v>
      </c>
      <c r="M59" s="86">
        <f>J59/K59</f>
        <v>0.70289459311851443</v>
      </c>
      <c r="N59" s="86"/>
      <c r="O59" s="86"/>
      <c r="P59" s="86"/>
      <c r="Q59" s="86"/>
      <c r="R59" s="80"/>
    </row>
    <row r="60" spans="2:20">
      <c r="H60" s="124">
        <v>2021</v>
      </c>
      <c r="I60" s="136">
        <f t="shared" ref="I60:I68" si="13">K46</f>
        <v>121552544.68343937</v>
      </c>
      <c r="J60" s="136">
        <f t="shared" ref="J60:J68" si="14">Q46</f>
        <v>350476038.33271325</v>
      </c>
      <c r="K60" s="79">
        <f t="shared" ref="K60:K68" si="15">I60+J60</f>
        <v>472028583.01615262</v>
      </c>
      <c r="L60" s="86">
        <f t="shared" ref="L60:L68" si="16">I60/K60</f>
        <v>0.25751098356533186</v>
      </c>
      <c r="M60" s="86">
        <f t="shared" ref="M60:M68" si="17">J60/K60</f>
        <v>0.74248901643466814</v>
      </c>
      <c r="N60" s="86"/>
      <c r="O60" s="86"/>
      <c r="P60" s="86"/>
      <c r="Q60" s="86"/>
      <c r="R60" s="80"/>
    </row>
    <row r="61" spans="2:20">
      <c r="H61" s="124">
        <v>2022</v>
      </c>
      <c r="I61" s="136">
        <f t="shared" si="13"/>
        <v>97242035.746751502</v>
      </c>
      <c r="J61" s="136">
        <f t="shared" si="14"/>
        <v>341714137.37439543</v>
      </c>
      <c r="K61" s="79">
        <f t="shared" si="15"/>
        <v>438956173.12114692</v>
      </c>
      <c r="L61" s="86">
        <f t="shared" si="16"/>
        <v>0.22153017021112448</v>
      </c>
      <c r="M61" s="86">
        <f t="shared" si="17"/>
        <v>0.77846982978887558</v>
      </c>
      <c r="N61" s="86"/>
      <c r="O61" s="86"/>
      <c r="P61" s="86"/>
      <c r="Q61" s="86"/>
      <c r="R61" s="80"/>
    </row>
    <row r="62" spans="2:20">
      <c r="H62" s="124">
        <v>2023</v>
      </c>
      <c r="I62" s="136">
        <f t="shared" si="13"/>
        <v>77793628.597401202</v>
      </c>
      <c r="J62" s="136">
        <f t="shared" si="14"/>
        <v>333171283.94003552</v>
      </c>
      <c r="K62" s="79">
        <f t="shared" si="15"/>
        <v>410964912.53743672</v>
      </c>
      <c r="L62" s="86">
        <f t="shared" si="16"/>
        <v>0.18929506199708623</v>
      </c>
      <c r="M62" s="86">
        <f t="shared" si="17"/>
        <v>0.81070493800291377</v>
      </c>
      <c r="N62" s="86"/>
      <c r="O62" s="86"/>
      <c r="P62" s="86"/>
      <c r="Q62" s="86"/>
      <c r="R62" s="80"/>
    </row>
    <row r="63" spans="2:20">
      <c r="H63" s="124">
        <v>2024</v>
      </c>
      <c r="I63" s="136">
        <f t="shared" si="13"/>
        <v>62234902.877920963</v>
      </c>
      <c r="J63" s="136">
        <f t="shared" si="14"/>
        <v>324842001.84153461</v>
      </c>
      <c r="K63" s="79">
        <f t="shared" si="15"/>
        <v>387076904.7194556</v>
      </c>
      <c r="L63" s="86">
        <f t="shared" si="16"/>
        <v>0.16078175194417085</v>
      </c>
      <c r="M63" s="86">
        <f t="shared" si="17"/>
        <v>0.83921824805582912</v>
      </c>
      <c r="N63" s="86"/>
      <c r="O63" s="86"/>
      <c r="P63" s="86"/>
      <c r="Q63" s="86"/>
      <c r="R63" s="80"/>
    </row>
    <row r="64" spans="2:20">
      <c r="H64" s="124">
        <v>2025</v>
      </c>
      <c r="I64" s="136">
        <f t="shared" si="13"/>
        <v>49787922.302336767</v>
      </c>
      <c r="J64" s="136">
        <f t="shared" si="14"/>
        <v>316720951.79549623</v>
      </c>
      <c r="K64" s="79">
        <f t="shared" si="15"/>
        <v>366508874.09783298</v>
      </c>
      <c r="L64" s="86">
        <f t="shared" si="16"/>
        <v>0.13584370207922106</v>
      </c>
      <c r="M64" s="86">
        <f t="shared" si="17"/>
        <v>0.86415629792077897</v>
      </c>
      <c r="N64" s="86"/>
      <c r="O64" s="86"/>
      <c r="P64" s="86"/>
      <c r="Q64" s="86"/>
      <c r="R64" s="80"/>
    </row>
    <row r="65" spans="2:21">
      <c r="H65" s="124">
        <v>2026</v>
      </c>
      <c r="I65" s="136">
        <f t="shared" si="13"/>
        <v>39830337.841869414</v>
      </c>
      <c r="J65" s="136">
        <f t="shared" si="14"/>
        <v>308802928.0006088</v>
      </c>
      <c r="K65" s="79">
        <f t="shared" si="15"/>
        <v>348633265.84247822</v>
      </c>
      <c r="L65" s="86">
        <f t="shared" si="16"/>
        <v>0.11424709499714183</v>
      </c>
      <c r="M65" s="86">
        <f t="shared" si="17"/>
        <v>0.88575290500285819</v>
      </c>
      <c r="N65" s="86"/>
      <c r="O65" s="86"/>
      <c r="P65" s="86"/>
      <c r="Q65" s="86"/>
      <c r="R65" s="80"/>
    </row>
    <row r="66" spans="2:21">
      <c r="H66" s="124">
        <v>2027</v>
      </c>
      <c r="I66" s="136">
        <f t="shared" si="13"/>
        <v>31864270.273495533</v>
      </c>
      <c r="J66" s="136">
        <f t="shared" si="14"/>
        <v>301082854.80059355</v>
      </c>
      <c r="K66" s="79">
        <f t="shared" si="15"/>
        <v>332947125.07408911</v>
      </c>
      <c r="L66" s="86">
        <f t="shared" si="16"/>
        <v>9.5703695493405835E-2</v>
      </c>
      <c r="M66" s="86">
        <f t="shared" si="17"/>
        <v>0.90429630450659404</v>
      </c>
      <c r="N66" s="86"/>
      <c r="O66" s="86"/>
      <c r="P66" s="86"/>
      <c r="Q66" s="86"/>
      <c r="R66" s="80"/>
    </row>
    <row r="67" spans="2:21">
      <c r="H67" s="124">
        <v>2028</v>
      </c>
      <c r="I67" s="136">
        <f t="shared" si="13"/>
        <v>25491416.218796425</v>
      </c>
      <c r="J67" s="136">
        <f t="shared" si="14"/>
        <v>293555783.43057871</v>
      </c>
      <c r="K67" s="79">
        <f t="shared" si="15"/>
        <v>319047199.64937514</v>
      </c>
      <c r="L67" s="86">
        <f t="shared" si="16"/>
        <v>7.989857377469807E-2</v>
      </c>
      <c r="M67" s="86">
        <f t="shared" si="17"/>
        <v>0.92010142622530189</v>
      </c>
      <c r="N67" s="86"/>
      <c r="O67" s="86"/>
      <c r="P67" s="86"/>
      <c r="Q67" s="86"/>
      <c r="R67" s="80"/>
    </row>
    <row r="68" spans="2:21" ht="15" thickBot="1">
      <c r="H68" s="127">
        <v>2029</v>
      </c>
      <c r="I68" s="138">
        <f t="shared" si="13"/>
        <v>20393132.975037139</v>
      </c>
      <c r="J68" s="138">
        <f t="shared" si="14"/>
        <v>286216888.84481424</v>
      </c>
      <c r="K68" s="81">
        <f t="shared" si="15"/>
        <v>306610021.8198514</v>
      </c>
      <c r="L68" s="87">
        <f t="shared" si="16"/>
        <v>6.6511632118206224E-2</v>
      </c>
      <c r="M68" s="87">
        <f t="shared" si="17"/>
        <v>0.93348836788179368</v>
      </c>
      <c r="N68" s="87"/>
      <c r="O68" s="87"/>
      <c r="P68" s="87"/>
      <c r="Q68" s="87"/>
      <c r="R68" s="82"/>
    </row>
    <row r="69" spans="2:21" s="5" customFormat="1">
      <c r="B69" s="74"/>
      <c r="C69" s="74"/>
      <c r="D69" s="74"/>
      <c r="E69" s="74"/>
      <c r="F69" s="74"/>
      <c r="G69" s="74"/>
      <c r="H69" s="125"/>
      <c r="I69" s="74"/>
      <c r="J69" s="74"/>
      <c r="K69" s="79"/>
      <c r="L69" s="86"/>
      <c r="M69" s="86"/>
      <c r="N69" s="86"/>
      <c r="O69" s="86"/>
      <c r="P69" s="86"/>
      <c r="Q69" s="86"/>
      <c r="R69" s="74"/>
      <c r="S69" s="74"/>
      <c r="T69" s="74"/>
    </row>
    <row r="70" spans="2:21" s="5" customFormat="1">
      <c r="B70" s="74"/>
      <c r="C70" s="74"/>
      <c r="D70" s="74"/>
      <c r="E70" s="74"/>
      <c r="F70" s="74"/>
      <c r="G70" s="74"/>
      <c r="H70" s="125"/>
      <c r="I70" s="74"/>
      <c r="J70" s="74"/>
      <c r="K70" s="79"/>
      <c r="L70" s="86"/>
      <c r="M70" s="86"/>
      <c r="N70" s="86"/>
      <c r="O70" s="86"/>
      <c r="P70" s="86"/>
      <c r="Q70" s="86"/>
      <c r="R70" s="74"/>
      <c r="S70" s="74"/>
      <c r="T70" s="74"/>
    </row>
    <row r="71" spans="2:21" ht="15" thickBot="1">
      <c r="F71" s="144" t="s">
        <v>255</v>
      </c>
      <c r="G71" s="86"/>
      <c r="H71" s="86"/>
      <c r="I71" s="86"/>
      <c r="J71" s="86"/>
    </row>
    <row r="72" spans="2:21" s="5" customFormat="1">
      <c r="B72" s="74"/>
      <c r="C72" s="74"/>
      <c r="D72" s="74"/>
      <c r="E72" s="74"/>
      <c r="F72" s="119"/>
      <c r="G72" s="120"/>
      <c r="H72" s="120"/>
      <c r="I72" s="120"/>
      <c r="J72" s="120"/>
      <c r="K72" s="120"/>
      <c r="L72" s="120"/>
      <c r="M72" s="120"/>
      <c r="N72" s="120"/>
      <c r="O72" s="120"/>
      <c r="P72" s="120"/>
      <c r="Q72" s="120"/>
      <c r="R72" s="120"/>
      <c r="S72" s="120"/>
      <c r="T72" s="121"/>
      <c r="U72" s="9"/>
    </row>
    <row r="73" spans="2:21" s="5" customFormat="1">
      <c r="B73" s="74"/>
      <c r="C73" s="74"/>
      <c r="D73" s="74"/>
      <c r="E73" s="74"/>
      <c r="F73" s="126"/>
      <c r="G73" s="86"/>
      <c r="H73" s="86"/>
      <c r="I73" s="86"/>
      <c r="J73" s="86"/>
      <c r="K73" s="86"/>
      <c r="L73" s="86"/>
      <c r="M73" s="86"/>
      <c r="N73" s="86"/>
      <c r="O73" s="86"/>
      <c r="P73" s="86"/>
      <c r="Q73" s="86"/>
      <c r="R73" s="86"/>
      <c r="S73" s="86"/>
      <c r="T73" s="80"/>
      <c r="U73" s="10"/>
    </row>
    <row r="74" spans="2:21">
      <c r="F74" s="126"/>
      <c r="G74" s="86"/>
      <c r="H74" s="86"/>
      <c r="I74" s="86"/>
      <c r="J74" s="86"/>
      <c r="K74" s="86"/>
      <c r="L74" s="86"/>
      <c r="M74" s="86"/>
      <c r="N74" s="86"/>
      <c r="O74" s="86"/>
      <c r="P74" s="86"/>
      <c r="Q74" s="86"/>
      <c r="R74" s="86"/>
      <c r="S74" s="86"/>
      <c r="T74" s="80"/>
      <c r="U74" s="10"/>
    </row>
    <row r="75" spans="2:21">
      <c r="F75" s="126"/>
      <c r="G75" s="86"/>
      <c r="H75" s="86" t="s">
        <v>147</v>
      </c>
      <c r="I75" s="86"/>
      <c r="J75" s="86"/>
      <c r="K75" s="86"/>
      <c r="L75" s="86"/>
      <c r="M75" s="86"/>
      <c r="N75" s="86"/>
      <c r="O75" s="86"/>
      <c r="P75" s="86"/>
      <c r="Q75" s="86"/>
      <c r="R75" s="86"/>
      <c r="S75" s="86"/>
      <c r="T75" s="80"/>
      <c r="U75" s="10"/>
    </row>
    <row r="76" spans="2:21">
      <c r="F76" s="126"/>
      <c r="G76" s="86"/>
      <c r="H76" s="86"/>
      <c r="I76" s="139" t="s">
        <v>50</v>
      </c>
      <c r="J76" s="139"/>
      <c r="K76" s="140" t="s">
        <v>49</v>
      </c>
      <c r="L76" s="140"/>
      <c r="M76" s="86"/>
      <c r="N76" s="86"/>
      <c r="O76" s="86"/>
      <c r="P76" s="86"/>
      <c r="Q76" s="86"/>
      <c r="R76" s="86"/>
      <c r="S76" s="86"/>
      <c r="T76" s="80"/>
      <c r="U76" s="10"/>
    </row>
    <row r="77" spans="2:21">
      <c r="F77" s="126"/>
      <c r="G77" s="86"/>
      <c r="H77" s="86"/>
      <c r="I77" s="139" t="s">
        <v>77</v>
      </c>
      <c r="J77" s="139" t="s">
        <v>78</v>
      </c>
      <c r="K77" s="140" t="s">
        <v>77</v>
      </c>
      <c r="L77" s="140" t="s">
        <v>78</v>
      </c>
      <c r="M77" s="86"/>
      <c r="N77" s="86"/>
      <c r="O77" s="86"/>
      <c r="P77" s="86"/>
      <c r="Q77" s="86"/>
      <c r="R77" s="86"/>
      <c r="S77" s="86"/>
      <c r="T77" s="80"/>
      <c r="U77" s="10"/>
    </row>
    <row r="78" spans="2:21">
      <c r="F78" s="126"/>
      <c r="G78" s="86"/>
      <c r="H78" s="125">
        <v>2020</v>
      </c>
      <c r="I78" s="141">
        <f>L27</f>
        <v>0.29710540688148551</v>
      </c>
      <c r="J78" s="141">
        <f>M27</f>
        <v>0.70289459311851443</v>
      </c>
      <c r="K78" s="142">
        <f>L59</f>
        <v>0.29710540688148551</v>
      </c>
      <c r="L78" s="142">
        <f>M59</f>
        <v>0.70289459311851443</v>
      </c>
      <c r="M78" s="86"/>
      <c r="N78" s="86"/>
      <c r="O78" s="86"/>
      <c r="P78" s="86"/>
      <c r="Q78" s="86"/>
      <c r="R78" s="86"/>
      <c r="S78" s="86"/>
      <c r="T78" s="80"/>
      <c r="U78" s="10"/>
    </row>
    <row r="79" spans="2:21">
      <c r="F79" s="126"/>
      <c r="G79" s="86"/>
      <c r="H79" s="125">
        <v>2021</v>
      </c>
      <c r="I79" s="141">
        <f t="shared" ref="I79:I87" si="18">L28</f>
        <v>0.25751098356533186</v>
      </c>
      <c r="J79" s="141">
        <f t="shared" ref="J79:J87" si="19">M28</f>
        <v>0.74248901643466814</v>
      </c>
      <c r="K79" s="142">
        <f>L60</f>
        <v>0.25751098356533186</v>
      </c>
      <c r="L79" s="142">
        <f t="shared" ref="L79:L87" si="20">M60</f>
        <v>0.74248901643466814</v>
      </c>
      <c r="M79" s="86"/>
      <c r="N79" s="86"/>
      <c r="O79" s="86"/>
      <c r="P79" s="86"/>
      <c r="Q79" s="86"/>
      <c r="R79" s="86"/>
      <c r="S79" s="86"/>
      <c r="T79" s="80"/>
      <c r="U79" s="10"/>
    </row>
    <row r="80" spans="2:21">
      <c r="F80" s="126"/>
      <c r="G80" s="86"/>
      <c r="H80" s="125">
        <v>2022</v>
      </c>
      <c r="I80" s="141">
        <f t="shared" si="18"/>
        <v>0.22153017021112448</v>
      </c>
      <c r="J80" s="141">
        <f t="shared" si="19"/>
        <v>0.77846982978887558</v>
      </c>
      <c r="K80" s="142">
        <f t="shared" ref="K80:K87" si="21">L61</f>
        <v>0.22153017021112448</v>
      </c>
      <c r="L80" s="142">
        <f t="shared" si="20"/>
        <v>0.77846982978887558</v>
      </c>
      <c r="M80" s="86"/>
      <c r="N80" s="86"/>
      <c r="O80" s="86"/>
      <c r="P80" s="86"/>
      <c r="Q80" s="86"/>
      <c r="R80" s="86"/>
      <c r="S80" s="86"/>
      <c r="T80" s="80"/>
      <c r="U80" s="10"/>
    </row>
    <row r="81" spans="2:21">
      <c r="F81" s="126"/>
      <c r="G81" s="86"/>
      <c r="H81" s="125">
        <v>2023</v>
      </c>
      <c r="I81" s="141">
        <f>L30</f>
        <v>0.18929506199708623</v>
      </c>
      <c r="J81" s="141">
        <f t="shared" si="19"/>
        <v>0.81070493800291377</v>
      </c>
      <c r="K81" s="142">
        <f t="shared" si="21"/>
        <v>0.18929506199708623</v>
      </c>
      <c r="L81" s="142">
        <f t="shared" si="20"/>
        <v>0.81070493800291377</v>
      </c>
      <c r="M81" s="86"/>
      <c r="N81" s="86"/>
      <c r="O81" s="86"/>
      <c r="P81" s="86"/>
      <c r="Q81" s="86"/>
      <c r="R81" s="86"/>
      <c r="S81" s="86"/>
      <c r="T81" s="80"/>
      <c r="U81" s="10"/>
    </row>
    <row r="82" spans="2:21">
      <c r="F82" s="126"/>
      <c r="G82" s="86"/>
      <c r="H82" s="125">
        <v>2024</v>
      </c>
      <c r="I82" s="141">
        <f t="shared" si="18"/>
        <v>0.16078175194417085</v>
      </c>
      <c r="J82" s="141">
        <f t="shared" si="19"/>
        <v>0.83921824805582912</v>
      </c>
      <c r="K82" s="142">
        <f t="shared" si="21"/>
        <v>0.16078175194417085</v>
      </c>
      <c r="L82" s="142">
        <f t="shared" si="20"/>
        <v>0.83921824805582912</v>
      </c>
      <c r="M82" s="86"/>
      <c r="N82" s="86"/>
      <c r="O82" s="86"/>
      <c r="P82" s="86"/>
      <c r="Q82" s="86"/>
      <c r="R82" s="86"/>
      <c r="S82" s="86"/>
      <c r="T82" s="80"/>
      <c r="U82" s="10"/>
    </row>
    <row r="83" spans="2:21">
      <c r="F83" s="126"/>
      <c r="G83" s="86"/>
      <c r="H83" s="125">
        <v>2025</v>
      </c>
      <c r="I83" s="141">
        <f t="shared" si="18"/>
        <v>0.13584370207922106</v>
      </c>
      <c r="J83" s="141">
        <f t="shared" si="19"/>
        <v>0.86415629792077897</v>
      </c>
      <c r="K83" s="142">
        <f t="shared" si="21"/>
        <v>0.13584370207922106</v>
      </c>
      <c r="L83" s="142">
        <f t="shared" si="20"/>
        <v>0.86415629792077897</v>
      </c>
      <c r="M83" s="86"/>
      <c r="N83" s="86"/>
      <c r="O83" s="86"/>
      <c r="P83" s="86"/>
      <c r="Q83" s="86"/>
      <c r="R83" s="86"/>
      <c r="S83" s="86"/>
      <c r="T83" s="80"/>
      <c r="U83" s="10"/>
    </row>
    <row r="84" spans="2:21">
      <c r="F84" s="126"/>
      <c r="G84" s="86"/>
      <c r="H84" s="125">
        <v>2026</v>
      </c>
      <c r="I84" s="141">
        <f t="shared" si="18"/>
        <v>0.11424709499714183</v>
      </c>
      <c r="J84" s="141">
        <f t="shared" si="19"/>
        <v>0.88575290500285819</v>
      </c>
      <c r="K84" s="142">
        <f t="shared" si="21"/>
        <v>0.11424709499714183</v>
      </c>
      <c r="L84" s="142">
        <f t="shared" si="20"/>
        <v>0.88575290500285819</v>
      </c>
      <c r="M84" s="86"/>
      <c r="N84" s="86"/>
      <c r="O84" s="86"/>
      <c r="P84" s="86"/>
      <c r="Q84" s="86"/>
      <c r="R84" s="86"/>
      <c r="S84" s="86"/>
      <c r="T84" s="80"/>
      <c r="U84" s="10"/>
    </row>
    <row r="85" spans="2:21">
      <c r="F85" s="126"/>
      <c r="G85" s="86"/>
      <c r="H85" s="125">
        <v>2027</v>
      </c>
      <c r="I85" s="141">
        <f t="shared" si="18"/>
        <v>9.5703695493405835E-2</v>
      </c>
      <c r="J85" s="141">
        <f t="shared" si="19"/>
        <v>0.90429630450659404</v>
      </c>
      <c r="K85" s="142">
        <f t="shared" si="21"/>
        <v>9.5703695493405835E-2</v>
      </c>
      <c r="L85" s="142">
        <f t="shared" si="20"/>
        <v>0.90429630450659404</v>
      </c>
      <c r="M85" s="86"/>
      <c r="N85" s="86"/>
      <c r="O85" s="86"/>
      <c r="P85" s="86"/>
      <c r="Q85" s="86"/>
      <c r="R85" s="86"/>
      <c r="S85" s="86"/>
      <c r="T85" s="80"/>
      <c r="U85" s="10"/>
    </row>
    <row r="86" spans="2:21">
      <c r="F86" s="126"/>
      <c r="G86" s="86"/>
      <c r="H86" s="125">
        <v>2028</v>
      </c>
      <c r="I86" s="141">
        <f t="shared" si="18"/>
        <v>7.989857377469807E-2</v>
      </c>
      <c r="J86" s="141">
        <f t="shared" si="19"/>
        <v>0.92010142622530189</v>
      </c>
      <c r="K86" s="142">
        <f t="shared" si="21"/>
        <v>7.989857377469807E-2</v>
      </c>
      <c r="L86" s="142">
        <f t="shared" si="20"/>
        <v>0.92010142622530189</v>
      </c>
      <c r="M86" s="86"/>
      <c r="N86" s="86"/>
      <c r="O86" s="86"/>
      <c r="P86" s="86"/>
      <c r="Q86" s="86"/>
      <c r="R86" s="86"/>
      <c r="S86" s="86"/>
      <c r="T86" s="80"/>
      <c r="U86" s="10"/>
    </row>
    <row r="87" spans="2:21">
      <c r="F87" s="126"/>
      <c r="G87" s="86"/>
      <c r="H87" s="125" t="s">
        <v>62</v>
      </c>
      <c r="I87" s="141">
        <f t="shared" si="18"/>
        <v>6.6511632118206224E-2</v>
      </c>
      <c r="J87" s="141">
        <f t="shared" si="19"/>
        <v>0.93348836788179368</v>
      </c>
      <c r="K87" s="142">
        <f t="shared" si="21"/>
        <v>6.6511632118206224E-2</v>
      </c>
      <c r="L87" s="142">
        <f t="shared" si="20"/>
        <v>0.93348836788179368</v>
      </c>
      <c r="M87" s="86"/>
      <c r="N87" s="86"/>
      <c r="O87" s="86"/>
      <c r="P87" s="86"/>
      <c r="Q87" s="86"/>
      <c r="R87" s="86"/>
      <c r="S87" s="86"/>
      <c r="T87" s="80"/>
      <c r="U87" s="10"/>
    </row>
    <row r="88" spans="2:21">
      <c r="F88" s="126"/>
      <c r="G88" s="86"/>
      <c r="H88" s="86"/>
      <c r="I88" s="86"/>
      <c r="J88" s="86"/>
      <c r="K88" s="86"/>
      <c r="L88" s="86"/>
      <c r="M88" s="86"/>
      <c r="N88" s="86"/>
      <c r="O88" s="86"/>
      <c r="P88" s="86"/>
      <c r="Q88" s="86"/>
      <c r="R88" s="86"/>
      <c r="S88" s="86"/>
      <c r="T88" s="80"/>
      <c r="U88" s="10"/>
    </row>
    <row r="89" spans="2:21">
      <c r="F89" s="126"/>
      <c r="G89" s="86"/>
      <c r="H89" s="86"/>
      <c r="I89" s="86"/>
      <c r="J89" s="143"/>
      <c r="K89" s="143"/>
      <c r="L89" s="143"/>
      <c r="M89" s="143"/>
      <c r="N89" s="86"/>
      <c r="O89" s="86"/>
      <c r="P89" s="86"/>
      <c r="Q89" s="86"/>
      <c r="R89" s="86"/>
      <c r="S89" s="86"/>
      <c r="T89" s="80"/>
      <c r="U89" s="10"/>
    </row>
    <row r="90" spans="2:21" ht="15" thickBot="1">
      <c r="F90" s="111" t="s">
        <v>110</v>
      </c>
      <c r="G90" s="87"/>
      <c r="H90" s="87"/>
      <c r="I90" s="87"/>
      <c r="J90" s="87"/>
      <c r="K90" s="87"/>
      <c r="L90" s="87"/>
      <c r="M90" s="87"/>
      <c r="N90" s="87"/>
      <c r="O90" s="87"/>
      <c r="P90" s="87"/>
      <c r="Q90" s="87"/>
      <c r="R90" s="87"/>
      <c r="S90" s="87"/>
      <c r="T90" s="82"/>
      <c r="U90" s="13"/>
    </row>
    <row r="91" spans="2:21" s="6" customFormat="1" ht="15" thickBot="1">
      <c r="B91" s="87"/>
      <c r="C91" s="87"/>
      <c r="D91" s="87"/>
      <c r="E91" s="87"/>
      <c r="F91" s="87"/>
      <c r="G91" s="87"/>
      <c r="H91" s="87"/>
      <c r="I91" s="87"/>
      <c r="J91" s="87"/>
      <c r="K91" s="87"/>
      <c r="L91" s="87"/>
      <c r="M91" s="87"/>
      <c r="N91" s="87"/>
      <c r="O91" s="87"/>
      <c r="P91" s="87"/>
      <c r="Q91" s="87"/>
      <c r="R91" s="87"/>
      <c r="S91" s="87"/>
      <c r="T91" s="87"/>
    </row>
  </sheetData>
  <sheetProtection algorithmName="SHA-512" hashValue="7e+VLx1icco+t+k3MiqyuTOTyXbwpP72dXRD/m4H49q8xvQZ5PlFAu+fTkfKDr17O5EcH94T7Uzy4ChJIq2KLA==" saltValue="xiThfqLaS/pEJ19gYp7sX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1. Hovedresultater</vt:lpstr>
      <vt:lpstr>2. Forbrugerbesparelser</vt:lpstr>
      <vt:lpstr>3. Omkostningsgrundlag for gene</vt:lpstr>
      <vt:lpstr>4. Benchmarking 2019</vt:lpstr>
      <vt:lpstr>5. Omkostningsramme for effekti</vt:lpstr>
      <vt:lpstr>6. Produktivitetsudvikling data</vt:lpstr>
      <vt:lpstr>7. Vægte til brug for indfriels</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Börjesson (FSTS)</dc:creator>
  <cp:lastModifiedBy>Kristina Börjesson (FSTS)</cp:lastModifiedBy>
  <dcterms:created xsi:type="dcterms:W3CDTF">2020-03-20T08:21:38Z</dcterms:created>
  <dcterms:modified xsi:type="dcterms:W3CDTF">2020-04-23T15:13:13Z</dcterms:modified>
</cp:coreProperties>
</file>